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wamp\jaguar_vdb\vdb2\vdb\excel\"/>
    </mc:Choice>
  </mc:AlternateContent>
  <xr:revisionPtr revIDLastSave="0" documentId="13_ncr:1_{EFAD6055-AB6E-4EF2-BEFB-8A3B2F4AF8A9}" xr6:coauthVersionLast="47" xr6:coauthVersionMax="47" xr10:uidLastSave="{00000000-0000-0000-0000-000000000000}"/>
  <bookViews>
    <workbookView xWindow="-120" yWindow="-120" windowWidth="24240" windowHeight="13140" tabRatio="786" activeTab="7" xr2:uid="{00000000-000D-0000-FFFF-FFFF00000000}"/>
  </bookViews>
  <sheets>
    <sheet name="new" sheetId="21" r:id="rId1"/>
    <sheet name="heat_new" sheetId="17" r:id="rId2"/>
    <sheet name="eql_tr_charts_new" sheetId="18" r:id="rId3"/>
    <sheet name="eql_tr_charts_old" sheetId="14" r:id="rId4"/>
    <sheet name="Shk_Fwhl" sheetId="6" r:id="rId5"/>
    <sheet name="Shk_Sag" sheetId="4" r:id="rId6"/>
    <sheet name="Fk_Fspr_Sag_bu" sheetId="22" r:id="rId7"/>
    <sheet name="Fk_Fspr_Sag" sheetId="7" r:id="rId8"/>
    <sheet name="Fk_Fgas_DFF_Sherco" sheetId="20" r:id="rId9"/>
    <sheet name="Fk_Fics_KYB" sheetId="16" r:id="rId10"/>
    <sheet name="Fk_Fgas_DFF_KYB" sheetId="9" r:id="rId11"/>
    <sheet name="Fk_Fgas_DFF_Showa" sheetId="15" r:id="rId12"/>
    <sheet name="Fk_Fgas_SFF" sheetId="11" r:id="rId13"/>
    <sheet name="Fk_Fics_AER" sheetId="10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4" i="7" l="1"/>
  <c r="B34" i="7" s="1"/>
  <c r="N22" i="7"/>
  <c r="L19" i="7"/>
  <c r="L20" i="7"/>
  <c r="L17" i="7"/>
  <c r="L18" i="7"/>
  <c r="L16" i="7"/>
  <c r="L15" i="7"/>
  <c r="U80" i="22"/>
  <c r="U79" i="22"/>
  <c r="U78" i="22"/>
  <c r="U77" i="22"/>
  <c r="U76" i="22"/>
  <c r="U75" i="22"/>
  <c r="U74" i="22"/>
  <c r="U73" i="22"/>
  <c r="U72" i="22"/>
  <c r="U71" i="22"/>
  <c r="U70" i="22"/>
  <c r="J70" i="22"/>
  <c r="U69" i="22"/>
  <c r="U68" i="22"/>
  <c r="U67" i="22"/>
  <c r="U66" i="22"/>
  <c r="K65" i="22"/>
  <c r="K64" i="22"/>
  <c r="K63" i="22"/>
  <c r="K62" i="22"/>
  <c r="K61" i="22"/>
  <c r="I52" i="22"/>
  <c r="J37" i="22"/>
  <c r="D37" i="22"/>
  <c r="F35" i="22"/>
  <c r="H35" i="22" s="1"/>
  <c r="D34" i="22"/>
  <c r="D38" i="22" s="1"/>
  <c r="G33" i="22"/>
  <c r="G34" i="22" s="1"/>
  <c r="B23" i="22"/>
  <c r="S19" i="22"/>
  <c r="B33" i="22" s="1"/>
  <c r="L19" i="22"/>
  <c r="I19" i="22"/>
  <c r="S11" i="22"/>
  <c r="R10" i="22" s="1"/>
  <c r="C10" i="22"/>
  <c r="J16" i="7"/>
  <c r="J74" i="7"/>
  <c r="K65" i="7"/>
  <c r="K66" i="7"/>
  <c r="K67" i="7"/>
  <c r="K68" i="7"/>
  <c r="K69" i="7"/>
  <c r="Y38" i="20"/>
  <c r="Y39" i="20"/>
  <c r="Y37" i="20"/>
  <c r="S39" i="20"/>
  <c r="T39" i="20" s="1"/>
  <c r="U39" i="20" s="1"/>
  <c r="Z37" i="20"/>
  <c r="S37" i="20"/>
  <c r="T37" i="20" s="1"/>
  <c r="U37" i="20" s="1"/>
  <c r="S38" i="20"/>
  <c r="T38" i="20" s="1"/>
  <c r="U38" i="20" s="1"/>
  <c r="S40" i="20"/>
  <c r="T40" i="20" s="1"/>
  <c r="U40" i="20" s="1"/>
  <c r="S36" i="20"/>
  <c r="T36" i="20" s="1"/>
  <c r="U36" i="20" s="1"/>
  <c r="Z38" i="20"/>
  <c r="Z39" i="20"/>
  <c r="K26" i="20"/>
  <c r="K25" i="20"/>
  <c r="K24" i="20"/>
  <c r="K23" i="20"/>
  <c r="K22" i="20"/>
  <c r="F16" i="20"/>
  <c r="F19" i="20" s="1"/>
  <c r="F13" i="20"/>
  <c r="F15" i="20" s="1"/>
  <c r="F18" i="20" s="1"/>
  <c r="AA5" i="20"/>
  <c r="N25" i="9"/>
  <c r="N24" i="9"/>
  <c r="N23" i="9"/>
  <c r="N22" i="9"/>
  <c r="N21" i="9"/>
  <c r="R38" i="18"/>
  <c r="G38" i="18"/>
  <c r="R37" i="18"/>
  <c r="G37" i="18"/>
  <c r="R36" i="18"/>
  <c r="G36" i="18"/>
  <c r="R35" i="18"/>
  <c r="G35" i="18"/>
  <c r="R34" i="18"/>
  <c r="G34" i="18"/>
  <c r="R33" i="18"/>
  <c r="G33" i="18"/>
  <c r="R32" i="18"/>
  <c r="G32" i="18"/>
  <c r="R31" i="18"/>
  <c r="G31" i="18"/>
  <c r="R30" i="18"/>
  <c r="G30" i="18"/>
  <c r="R29" i="18"/>
  <c r="G29" i="18"/>
  <c r="R18" i="18"/>
  <c r="G18" i="18"/>
  <c r="R17" i="18"/>
  <c r="G17" i="18"/>
  <c r="R16" i="18"/>
  <c r="G16" i="18"/>
  <c r="R15" i="18"/>
  <c r="G15" i="18"/>
  <c r="R14" i="18"/>
  <c r="G14" i="18"/>
  <c r="R13" i="18"/>
  <c r="G13" i="18"/>
  <c r="R12" i="18"/>
  <c r="G12" i="18"/>
  <c r="R11" i="18"/>
  <c r="G11" i="18"/>
  <c r="R10" i="18"/>
  <c r="G10" i="18"/>
  <c r="R9" i="18"/>
  <c r="G9" i="18"/>
  <c r="F33" i="22" l="1"/>
  <c r="F34" i="22" s="1"/>
  <c r="K37" i="22"/>
  <c r="K39" i="22" s="1"/>
  <c r="D19" i="22"/>
  <c r="E23" i="22" s="1"/>
  <c r="F23" i="22" s="1"/>
  <c r="C7" i="22"/>
  <c r="I33" i="22"/>
  <c r="J33" i="22" s="1"/>
  <c r="I50" i="22"/>
  <c r="D23" i="22"/>
  <c r="D24" i="22" s="1"/>
  <c r="A41" i="20"/>
  <c r="F20" i="20"/>
  <c r="A36" i="20" s="1"/>
  <c r="A47" i="20"/>
  <c r="C5" i="17"/>
  <c r="D5" i="17" s="1"/>
  <c r="G5" i="17" s="1"/>
  <c r="H5" i="17" s="1"/>
  <c r="I5" i="17" s="1"/>
  <c r="N5" i="17"/>
  <c r="T5" i="17"/>
  <c r="T6" i="17" s="1"/>
  <c r="D6" i="17"/>
  <c r="G6" i="17" s="1"/>
  <c r="H6" i="17" s="1"/>
  <c r="I6" i="17" s="1"/>
  <c r="O6" i="17"/>
  <c r="O7" i="17" s="1"/>
  <c r="D7" i="17"/>
  <c r="G7" i="17" s="1"/>
  <c r="H7" i="17" s="1"/>
  <c r="I7" i="17" s="1"/>
  <c r="D10" i="17"/>
  <c r="G10" i="17" s="1"/>
  <c r="H10" i="17" s="1"/>
  <c r="I10" i="17" s="1"/>
  <c r="D11" i="17"/>
  <c r="G11" i="17" s="1"/>
  <c r="H11" i="17" s="1"/>
  <c r="I11" i="17" s="1"/>
  <c r="N11" i="17"/>
  <c r="O11" i="17"/>
  <c r="T11" i="17"/>
  <c r="D14" i="17"/>
  <c r="G14" i="17" s="1"/>
  <c r="H14" i="17" s="1"/>
  <c r="I14" i="17" s="1"/>
  <c r="D15" i="17"/>
  <c r="G15" i="17" s="1"/>
  <c r="H15" i="17" s="1"/>
  <c r="I15" i="17" s="1"/>
  <c r="D17" i="17"/>
  <c r="G17" i="17"/>
  <c r="H17" i="17" s="1"/>
  <c r="I17" i="17" s="1"/>
  <c r="D18" i="17"/>
  <c r="G18" i="17"/>
  <c r="H18" i="17" s="1"/>
  <c r="I18" i="17" s="1"/>
  <c r="F23" i="20" l="1"/>
  <c r="F24" i="20" s="1"/>
  <c r="F26" i="20" s="1"/>
  <c r="F27" i="20" s="1"/>
  <c r="A31" i="20"/>
  <c r="S18" i="11"/>
  <c r="S17" i="11"/>
  <c r="F13" i="9"/>
  <c r="F15" i="9" s="1"/>
  <c r="F18" i="9" s="1"/>
  <c r="F16" i="9"/>
  <c r="F19" i="9" s="1"/>
  <c r="O22" i="16"/>
  <c r="O18" i="16"/>
  <c r="D14" i="16"/>
  <c r="D13" i="16"/>
  <c r="D12" i="16"/>
  <c r="Q15" i="16"/>
  <c r="O14" i="16"/>
  <c r="O15" i="16" s="1"/>
  <c r="Q13" i="16"/>
  <c r="O12" i="16"/>
  <c r="O13" i="16" s="1"/>
  <c r="O4" i="16"/>
  <c r="Q11" i="16"/>
  <c r="Q19" i="16" s="1"/>
  <c r="O10" i="16"/>
  <c r="O11" i="16" s="1"/>
  <c r="J27" i="15"/>
  <c r="J26" i="15"/>
  <c r="F15" i="15"/>
  <c r="F18" i="15" s="1"/>
  <c r="K13" i="15"/>
  <c r="K15" i="15" s="1"/>
  <c r="K18" i="15" s="1"/>
  <c r="F13" i="15"/>
  <c r="F14" i="15" s="1"/>
  <c r="F17" i="15" s="1"/>
  <c r="K8" i="15"/>
  <c r="K10" i="15" s="1"/>
  <c r="O7" i="15"/>
  <c r="R38" i="14"/>
  <c r="G38" i="14"/>
  <c r="R37" i="14"/>
  <c r="G37" i="14"/>
  <c r="R36" i="14"/>
  <c r="G36" i="14"/>
  <c r="R35" i="14"/>
  <c r="G35" i="14"/>
  <c r="R34" i="14"/>
  <c r="G34" i="14"/>
  <c r="R33" i="14"/>
  <c r="G33" i="14"/>
  <c r="R32" i="14"/>
  <c r="G32" i="14"/>
  <c r="R31" i="14"/>
  <c r="G31" i="14"/>
  <c r="R30" i="14"/>
  <c r="G30" i="14"/>
  <c r="R29" i="14"/>
  <c r="G29" i="14"/>
  <c r="R18" i="14"/>
  <c r="G18" i="14"/>
  <c r="R17" i="14"/>
  <c r="G17" i="14"/>
  <c r="R16" i="14"/>
  <c r="G16" i="14"/>
  <c r="R15" i="14"/>
  <c r="G15" i="14"/>
  <c r="R14" i="14"/>
  <c r="G14" i="14"/>
  <c r="R13" i="14"/>
  <c r="G13" i="14"/>
  <c r="R12" i="14"/>
  <c r="G12" i="14"/>
  <c r="R11" i="14"/>
  <c r="G11" i="14"/>
  <c r="R10" i="14"/>
  <c r="G10" i="14"/>
  <c r="R9" i="14"/>
  <c r="G9" i="14"/>
  <c r="Q16" i="16" l="1"/>
  <c r="Q20" i="16" s="1"/>
  <c r="Q23" i="16" s="1"/>
  <c r="Q25" i="16" s="1"/>
  <c r="O16" i="16"/>
  <c r="A47" i="9"/>
  <c r="F20" i="9"/>
  <c r="A41" i="9"/>
  <c r="D16" i="16"/>
  <c r="D35" i="16" s="1"/>
  <c r="O19" i="16"/>
  <c r="D18" i="16"/>
  <c r="F19" i="15"/>
  <c r="F21" i="15"/>
  <c r="F22" i="15" s="1"/>
  <c r="F24" i="15" s="1"/>
  <c r="K17" i="15"/>
  <c r="K19" i="15" s="1"/>
  <c r="K23" i="15" s="1"/>
  <c r="K22" i="15"/>
  <c r="K24" i="15" s="1"/>
  <c r="K25" i="15" s="1"/>
  <c r="K27" i="15" s="1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I23" i="6"/>
  <c r="I19" i="6"/>
  <c r="I17" i="6"/>
  <c r="I15" i="6"/>
  <c r="I13" i="6"/>
  <c r="E12" i="6"/>
  <c r="I28" i="6"/>
  <c r="I26" i="6"/>
  <c r="I18" i="6"/>
  <c r="I16" i="6"/>
  <c r="I14" i="6"/>
  <c r="I12" i="6"/>
  <c r="I27" i="6"/>
  <c r="G36" i="6"/>
  <c r="G38" i="6" s="1"/>
  <c r="G43" i="6" s="1"/>
  <c r="J36" i="6"/>
  <c r="J38" i="6" s="1"/>
  <c r="J43" i="6" s="1"/>
  <c r="J41" i="6"/>
  <c r="G41" i="6"/>
  <c r="I21" i="6"/>
  <c r="I22" i="6"/>
  <c r="I25" i="6"/>
  <c r="I24" i="6"/>
  <c r="I20" i="6"/>
  <c r="K13" i="4"/>
  <c r="K15" i="4"/>
  <c r="K17" i="4"/>
  <c r="K20" i="4"/>
  <c r="K14" i="4"/>
  <c r="I7" i="6"/>
  <c r="K7" i="6"/>
  <c r="AD31" i="6"/>
  <c r="AD32" i="6"/>
  <c r="AD33" i="6"/>
  <c r="AD34" i="6"/>
  <c r="AD35" i="6"/>
  <c r="AD36" i="6"/>
  <c r="AD37" i="6"/>
  <c r="AD38" i="6"/>
  <c r="AD39" i="6"/>
  <c r="AD30" i="6"/>
  <c r="AE17" i="6"/>
  <c r="AE18" i="6"/>
  <c r="AE19" i="6"/>
  <c r="AE20" i="6"/>
  <c r="AE21" i="6"/>
  <c r="AE22" i="6"/>
  <c r="AE23" i="6"/>
  <c r="AE24" i="6"/>
  <c r="AE25" i="6"/>
  <c r="AE16" i="6"/>
  <c r="AD16" i="6"/>
  <c r="AD17" i="6"/>
  <c r="AD18" i="6"/>
  <c r="AD19" i="6"/>
  <c r="AD20" i="6"/>
  <c r="AD21" i="6"/>
  <c r="AD22" i="6"/>
  <c r="AD23" i="6"/>
  <c r="AD24" i="6"/>
  <c r="AD25" i="6"/>
  <c r="AD15" i="6"/>
  <c r="Z17" i="6"/>
  <c r="Z18" i="6"/>
  <c r="Z19" i="6"/>
  <c r="Z20" i="6"/>
  <c r="Z21" i="6"/>
  <c r="Z22" i="6"/>
  <c r="Z23" i="6"/>
  <c r="Z24" i="6"/>
  <c r="Z25" i="6"/>
  <c r="Z16" i="6"/>
  <c r="Q26" i="16" l="1"/>
  <c r="Q27" i="16"/>
  <c r="Q28" i="16" s="1"/>
  <c r="O20" i="16"/>
  <c r="O23" i="16" s="1"/>
  <c r="O26" i="16" s="1"/>
  <c r="O28" i="16" s="1"/>
  <c r="A36" i="9"/>
  <c r="F23" i="9"/>
  <c r="F24" i="9" s="1"/>
  <c r="F26" i="9" s="1"/>
  <c r="A31" i="9"/>
  <c r="D19" i="16"/>
  <c r="D21" i="16" s="1"/>
  <c r="D22" i="16" s="1"/>
  <c r="D23" i="16" s="1"/>
  <c r="G44" i="6"/>
  <c r="J44" i="6"/>
  <c r="G16" i="7"/>
  <c r="T9" i="7"/>
  <c r="S8" i="7" s="1"/>
  <c r="D24" i="16" l="1"/>
  <c r="D25" i="16" s="1"/>
  <c r="D26" i="16" s="1"/>
  <c r="U71" i="7"/>
  <c r="U72" i="7"/>
  <c r="U73" i="7"/>
  <c r="U74" i="7"/>
  <c r="U75" i="7"/>
  <c r="U76" i="7"/>
  <c r="U77" i="7"/>
  <c r="U78" i="7"/>
  <c r="U79" i="7"/>
  <c r="U80" i="7"/>
  <c r="U81" i="7"/>
  <c r="U82" i="7"/>
  <c r="U83" i="7"/>
  <c r="U84" i="7"/>
  <c r="U70" i="7"/>
  <c r="I56" i="7"/>
  <c r="F20" i="11"/>
  <c r="D12" i="10"/>
  <c r="D18" i="10" s="1"/>
  <c r="C16" i="11"/>
  <c r="J27" i="11"/>
  <c r="J26" i="11"/>
  <c r="F17" i="11"/>
  <c r="F22" i="11" s="1"/>
  <c r="K13" i="11"/>
  <c r="K15" i="11" s="1"/>
  <c r="K18" i="11" s="1"/>
  <c r="F15" i="11"/>
  <c r="F16" i="11" s="1"/>
  <c r="F19" i="11" s="1"/>
  <c r="K8" i="11"/>
  <c r="K10" i="11" s="1"/>
  <c r="O7" i="11"/>
  <c r="J12" i="10"/>
  <c r="D14" i="10"/>
  <c r="D13" i="10"/>
  <c r="H18" i="10"/>
  <c r="H14" i="10"/>
  <c r="J11" i="10"/>
  <c r="H10" i="10"/>
  <c r="H11" i="10" s="1"/>
  <c r="J9" i="10"/>
  <c r="H8" i="10"/>
  <c r="H9" i="10" s="1"/>
  <c r="O7" i="10"/>
  <c r="J7" i="10"/>
  <c r="J15" i="10" s="1"/>
  <c r="H6" i="10"/>
  <c r="H7" i="10" s="1"/>
  <c r="V5" i="9"/>
  <c r="F38" i="11" l="1"/>
  <c r="F23" i="11"/>
  <c r="F37" i="11"/>
  <c r="F24" i="11"/>
  <c r="J16" i="10"/>
  <c r="D16" i="10"/>
  <c r="D30" i="10" s="1"/>
  <c r="K17" i="11"/>
  <c r="K19" i="11" s="1"/>
  <c r="K23" i="11" s="1"/>
  <c r="K22" i="11"/>
  <c r="H12" i="10"/>
  <c r="J19" i="10"/>
  <c r="J21" i="10" s="1"/>
  <c r="H15" i="10"/>
  <c r="D19" i="10" l="1"/>
  <c r="D21" i="10" s="1"/>
  <c r="D22" i="10" s="1"/>
  <c r="D24" i="10" s="1"/>
  <c r="D25" i="10" s="1"/>
  <c r="K24" i="11"/>
  <c r="K25" i="11" s="1"/>
  <c r="K27" i="11" s="1"/>
  <c r="F28" i="11"/>
  <c r="F30" i="11" s="1"/>
  <c r="F33" i="11" s="1"/>
  <c r="F27" i="11"/>
  <c r="F29" i="11" s="1"/>
  <c r="F32" i="11" s="1"/>
  <c r="F34" i="11" s="1"/>
  <c r="D23" i="10"/>
  <c r="J23" i="10"/>
  <c r="J24" i="10" s="1"/>
  <c r="J22" i="10"/>
  <c r="H16" i="10"/>
  <c r="H19" i="10" s="1"/>
  <c r="H22" i="10" s="1"/>
  <c r="H24" i="10" s="1"/>
  <c r="J38" i="7"/>
  <c r="G34" i="7"/>
  <c r="G35" i="7" s="1"/>
  <c r="F34" i="7"/>
  <c r="D35" i="7"/>
  <c r="D40" i="7" s="1"/>
  <c r="D38" i="7"/>
  <c r="C20" i="7"/>
  <c r="B13" i="6"/>
  <c r="C13" i="6" s="1"/>
  <c r="S10" i="6"/>
  <c r="P10" i="6"/>
  <c r="Q10" i="6" s="1"/>
  <c r="T7" i="6"/>
  <c r="D7" i="6" s="1"/>
  <c r="F27" i="9" l="1"/>
  <c r="T10" i="6"/>
  <c r="E20" i="7"/>
  <c r="C5" i="7"/>
  <c r="K38" i="7"/>
  <c r="C17" i="6"/>
  <c r="F35" i="7"/>
  <c r="I34" i="7"/>
  <c r="I20" i="7" l="1"/>
  <c r="G20" i="7"/>
  <c r="I54" i="7"/>
  <c r="J34" i="7"/>
  <c r="K7" i="4"/>
  <c r="O10" i="4"/>
  <c r="P10" i="4" s="1"/>
  <c r="R10" i="4"/>
  <c r="S7" i="4"/>
  <c r="C7" i="4" s="1"/>
  <c r="E7" i="4"/>
  <c r="G11" i="4" l="1"/>
  <c r="G13" i="4"/>
  <c r="S10" i="4"/>
  <c r="L11" i="4"/>
</calcChain>
</file>

<file path=xl/sharedStrings.xml><?xml version="1.0" encoding="utf-8"?>
<sst xmlns="http://schemas.openxmlformats.org/spreadsheetml/2006/main" count="1440" uniqueCount="465">
  <si>
    <t>k.spg</t>
  </si>
  <si>
    <t>pre</t>
  </si>
  <si>
    <t>[kg/mm]</t>
  </si>
  <si>
    <t>[mm]</t>
  </si>
  <si>
    <t>[lbm]</t>
  </si>
  <si>
    <t>F.gas</t>
  </si>
  <si>
    <t>[lbf]</t>
  </si>
  <si>
    <t>y.sag</t>
  </si>
  <si>
    <t>[lb/mm]</t>
  </si>
  <si>
    <t>LR</t>
  </si>
  <si>
    <t>[-]</t>
  </si>
  <si>
    <t>F.whl</t>
  </si>
  <si>
    <t>TR</t>
  </si>
  <si>
    <t>w.rider</t>
  </si>
  <si>
    <t>w.rear</t>
  </si>
  <si>
    <t>w.bike</t>
  </si>
  <si>
    <t>wtsplit.bike</t>
  </si>
  <si>
    <t xml:space="preserve"> [-]</t>
  </si>
  <si>
    <t>wtsplit.rider</t>
  </si>
  <si>
    <t>whl.tr</t>
  </si>
  <si>
    <t>shk.tr</t>
  </si>
  <si>
    <t>unsprung.rear</t>
  </si>
  <si>
    <t>bikewt</t>
  </si>
  <si>
    <t>wtsplit_bike</t>
  </si>
  <si>
    <t>wtsplit_rider</t>
  </si>
  <si>
    <t>unsprung_rear</t>
  </si>
  <si>
    <t>riderwt</t>
  </si>
  <si>
    <t>rearwt</t>
  </si>
  <si>
    <t>bike wt rear</t>
  </si>
  <si>
    <t>rider wt rear</t>
  </si>
  <si>
    <t>a</t>
  </si>
  <si>
    <t>b</t>
  </si>
  <si>
    <t>c</t>
  </si>
  <si>
    <t>$spr_lb_mm</t>
  </si>
  <si>
    <t>d</t>
  </si>
  <si>
    <t>$lrspring</t>
  </si>
  <si>
    <t>$lrprel</t>
  </si>
  <si>
    <t>$rearwt_sag</t>
  </si>
  <si>
    <t>$mr_value</t>
  </si>
  <si>
    <t>e</t>
  </si>
  <si>
    <t>f</t>
  </si>
  <si>
    <t>$shtr_value</t>
  </si>
  <si>
    <t>$tr_value</t>
  </si>
  <si>
    <t>wh_tr</t>
  </si>
  <si>
    <t xml:space="preserve"> [lev_100]</t>
  </si>
  <si>
    <t xml:space="preserve"> [lev_tr_100]</t>
  </si>
  <si>
    <t xml:space="preserve"> $TR_100</t>
  </si>
  <si>
    <t xml:space="preserve"> $lrprel</t>
  </si>
  <si>
    <t xml:space="preserve"> $gas_force</t>
  </si>
  <si>
    <t>Use this one to calculate for shock sag</t>
  </si>
  <si>
    <t>Use this one to calculate rear wt (Fwhl)</t>
  </si>
  <si>
    <t xml:space="preserve"> 2-4-23</t>
  </si>
  <si>
    <t xml:space="preserve"> 2-5-23</t>
  </si>
  <si>
    <t>We got new fork formula from Calvin in an email.</t>
  </si>
  <si>
    <t xml:space="preserve"> Fgrnd = Fwhl = front wt</t>
  </si>
  <si>
    <t xml:space="preserve"> k.spg = use lb/mm</t>
  </si>
  <si>
    <t xml:space="preserve"> Yfrk = shaft tr or sag</t>
  </si>
  <si>
    <t xml:space="preserve"> Ypre = prel</t>
  </si>
  <si>
    <t xml:space="preserve"> Kgas = see formula</t>
  </si>
  <si>
    <t xml:space="preserve"> Kics = see formula</t>
  </si>
  <si>
    <t>k.pre</t>
  </si>
  <si>
    <t>LR (+&gt;1)</t>
  </si>
  <si>
    <t xml:space="preserve"> foale MR</t>
  </si>
  <si>
    <t>wtsplit chassis</t>
  </si>
  <si>
    <t>wtsplit bike</t>
  </si>
  <si>
    <t>wtsplit bike+rider</t>
  </si>
  <si>
    <t>wtsplit rider</t>
  </si>
  <si>
    <t>y.sag sh</t>
  </si>
  <si>
    <t>frontwt</t>
  </si>
  <si>
    <t>spr</t>
  </si>
  <si>
    <t>prel</t>
  </si>
  <si>
    <t>F.grnd</t>
  </si>
  <si>
    <t>gas force</t>
  </si>
  <si>
    <t>icspr force</t>
  </si>
  <si>
    <t>k.gas</t>
  </si>
  <si>
    <t>k.ics</t>
  </si>
  <si>
    <t>y.pre</t>
  </si>
  <si>
    <t>y.frk shft</t>
  </si>
  <si>
    <t>y.frk whl</t>
  </si>
  <si>
    <t>y.sag whl</t>
  </si>
  <si>
    <t>Shock formula with LR and TR</t>
  </si>
  <si>
    <t>New fork formula</t>
  </si>
  <si>
    <t>Bike wt split for 20xcf350</t>
  </si>
  <si>
    <t xml:space="preserve">  &lt;-- solve for shaft tr</t>
  </si>
  <si>
    <t xml:space="preserve"> &lt;-- solve for front wt</t>
  </si>
  <si>
    <t xml:space="preserve"> 10crf250 sprConv icOpen</t>
  </si>
  <si>
    <t xml:space="preserve"> cc</t>
  </si>
  <si>
    <t xml:space="preserve"> cc </t>
  </si>
  <si>
    <t xml:space="preserve"> oil level</t>
  </si>
  <si>
    <t xml:space="preserve"> mm</t>
  </si>
  <si>
    <t xml:space="preserve"> mm^2</t>
  </si>
  <si>
    <t xml:space="preserve"> less reduction for said stroke</t>
  </si>
  <si>
    <t xml:space="preserve"> psi</t>
  </si>
  <si>
    <t xml:space="preserve"> absolute</t>
  </si>
  <si>
    <t xml:space="preserve"> positional airV</t>
  </si>
  <si>
    <t xml:space="preserve"> psi </t>
  </si>
  <si>
    <t xml:space="preserve"> pressure</t>
  </si>
  <si>
    <t xml:space="preserve"> starting airV</t>
  </si>
  <si>
    <t xml:space="preserve"> delta press</t>
  </si>
  <si>
    <t xml:space="preserve"> cm</t>
  </si>
  <si>
    <t xml:space="preserve"> cm^2</t>
  </si>
  <si>
    <t xml:space="preserve"> mm^3</t>
  </si>
  <si>
    <t xml:space="preserve"> CONVERSION</t>
  </si>
  <si>
    <t xml:space="preserve">  Fgas calculated using cm and psi</t>
  </si>
  <si>
    <t xml:space="preserve">  omnicalculator.com/physics/pressure calculator</t>
  </si>
  <si>
    <t xml:space="preserve"> unknown </t>
  </si>
  <si>
    <t xml:space="preserve"> lbf</t>
  </si>
  <si>
    <t xml:space="preserve"> conversion factor</t>
  </si>
  <si>
    <t xml:space="preserve"> rod dia</t>
  </si>
  <si>
    <t xml:space="preserve"> airV</t>
  </si>
  <si>
    <t xml:space="preserve"> tube dia</t>
  </si>
  <si>
    <t xml:space="preserve"> tube area</t>
  </si>
  <si>
    <t xml:space="preserve"> x stroke</t>
  </si>
  <si>
    <t xml:space="preserve"> icpist dia</t>
  </si>
  <si>
    <t xml:space="preserve"> icrod dia</t>
  </si>
  <si>
    <t xml:space="preserve"> rod area</t>
  </si>
  <si>
    <t xml:space="preserve"> stroke</t>
  </si>
  <si>
    <t xml:space="preserve"> fluid displaced by rod</t>
  </si>
  <si>
    <t xml:space="preserve"> icpist area</t>
  </si>
  <si>
    <t xml:space="preserve"> icrod area</t>
  </si>
  <si>
    <t xml:space="preserve"> area for fluid to act against</t>
  </si>
  <si>
    <t xml:space="preserve"> said vol moves icpist this much</t>
  </si>
  <si>
    <t xml:space="preserve"> icspr rate</t>
  </si>
  <si>
    <t xml:space="preserve"> kg/mm</t>
  </si>
  <si>
    <t xml:space="preserve"> kgf</t>
  </si>
  <si>
    <t xml:space="preserve"> spr force pushing on icpist area</t>
  </si>
  <si>
    <t xml:space="preserve"> presure pushing against rod</t>
  </si>
  <si>
    <t xml:space="preserve"> in</t>
  </si>
  <si>
    <t xml:space="preserve"> in^2</t>
  </si>
  <si>
    <t xml:space="preserve"> in^3</t>
  </si>
  <si>
    <t xml:space="preserve"> lb/in</t>
  </si>
  <si>
    <t xml:space="preserve"> mm^2 to in^2</t>
  </si>
  <si>
    <t xml:space="preserve"> kgf/mm^2</t>
  </si>
  <si>
    <t xml:space="preserve"> kgf/mm^2 to psi</t>
  </si>
  <si>
    <t xml:space="preserve"> mm^3 to in^3</t>
  </si>
  <si>
    <t xml:space="preserve"> kg/mm to lb/in</t>
  </si>
  <si>
    <t xml:space="preserve"> x 1421.941</t>
  </si>
  <si>
    <t xml:space="preserve"> x 2.2046</t>
  </si>
  <si>
    <t xml:space="preserve"> VLM calculated Fgas for 100mm stroke</t>
  </si>
  <si>
    <t xml:space="preserve"> wireV    wd, ac, od</t>
  </si>
  <si>
    <t xml:space="preserve"> 2-6-23</t>
  </si>
  <si>
    <t xml:space="preserve"> = Fgas  gas force</t>
  </si>
  <si>
    <t xml:space="preserve"> lbf  ics force</t>
  </si>
  <si>
    <t xml:space="preserve"> count</t>
  </si>
  <si>
    <t xml:space="preserve"> f8</t>
  </si>
  <si>
    <t xml:space="preserve"> f9</t>
  </si>
  <si>
    <t xml:space="preserve"> f10</t>
  </si>
  <si>
    <t xml:space="preserve"> $airV  </t>
  </si>
  <si>
    <t xml:space="preserve"> $oil_level  </t>
  </si>
  <si>
    <t xml:space="preserve"> $wireL  </t>
  </si>
  <si>
    <t xml:space="preserve"> $wireV  </t>
  </si>
  <si>
    <t xml:space="preserve"> $tube_area  </t>
  </si>
  <si>
    <t xml:space="preserve"> $start_airV  </t>
  </si>
  <si>
    <t xml:space="preserve"> f6</t>
  </si>
  <si>
    <t xml:space="preserve"> f7</t>
  </si>
  <si>
    <t xml:space="preserve"> f13</t>
  </si>
  <si>
    <t xml:space="preserve"> f14</t>
  </si>
  <si>
    <t xml:space="preserve"> f15</t>
  </si>
  <si>
    <t xml:space="preserve"> $stroke_airV  </t>
  </si>
  <si>
    <t xml:space="preserve"> stroke  </t>
  </si>
  <si>
    <t xml:space="preserve"> f4</t>
  </si>
  <si>
    <t xml:space="preserve"> f17</t>
  </si>
  <si>
    <t xml:space="preserve"> stroke airV</t>
  </si>
  <si>
    <t xml:space="preserve"> f18</t>
  </si>
  <si>
    <t xml:space="preserve"> $position_airV  </t>
  </si>
  <si>
    <t xml:space="preserve"> $resulting_press  </t>
  </si>
  <si>
    <t xml:space="preserve"> f21</t>
  </si>
  <si>
    <t xml:space="preserve"> $delta_press  </t>
  </si>
  <si>
    <t xml:space="preserve"> f22</t>
  </si>
  <si>
    <t xml:space="preserve"> $str_gasforce  </t>
  </si>
  <si>
    <t xml:space="preserve"> f24</t>
  </si>
  <si>
    <t xml:space="preserve"> NOTE: gas force off from VLM</t>
  </si>
  <si>
    <t xml:space="preserve"> f19</t>
  </si>
  <si>
    <t xml:space="preserve"> Use this in Fk Lev Ratio tab</t>
  </si>
  <si>
    <t xml:space="preserve"> $rod_dia  </t>
  </si>
  <si>
    <t xml:space="preserve"> $icpist_dia  </t>
  </si>
  <si>
    <t xml:space="preserve"> $icrod_dia  </t>
  </si>
  <si>
    <t xml:space="preserve"> $icspr_rate  </t>
  </si>
  <si>
    <t xml:space="preserve"> $area_rod  </t>
  </si>
  <si>
    <t xml:space="preserve"> $area_icpist  </t>
  </si>
  <si>
    <t xml:space="preserve"> $area_icrod  </t>
  </si>
  <si>
    <t xml:space="preserve"> f11</t>
  </si>
  <si>
    <t xml:space="preserve"> f12</t>
  </si>
  <si>
    <t xml:space="preserve"> $area_icrod_icpist  </t>
  </si>
  <si>
    <t xml:space="preserve"> e4</t>
  </si>
  <si>
    <t xml:space="preserve"> e6</t>
  </si>
  <si>
    <t xml:space="preserve"> e7</t>
  </si>
  <si>
    <t xml:space="preserve"> e8</t>
  </si>
  <si>
    <t xml:space="preserve"> e9</t>
  </si>
  <si>
    <t xml:space="preserve"> e12</t>
  </si>
  <si>
    <t xml:space="preserve"> e13</t>
  </si>
  <si>
    <t xml:space="preserve"> $displaced_vol  </t>
  </si>
  <si>
    <t xml:space="preserve"> $icpist_str  </t>
  </si>
  <si>
    <t xml:space="preserve"> $sprforce_ics_area  </t>
  </si>
  <si>
    <t xml:space="preserve"> $press_against_rod  </t>
  </si>
  <si>
    <t xml:space="preserve"> $equal_psi_against_rod  </t>
  </si>
  <si>
    <t xml:space="preserve"> $equal_kgf_rod  </t>
  </si>
  <si>
    <t xml:space="preserve"> $equal_lbf_rod  </t>
  </si>
  <si>
    <t xml:space="preserve"> &lt;-- P = F / A</t>
  </si>
  <si>
    <t xml:space="preserve"> &lt;-- F = P x A</t>
  </si>
  <si>
    <t xml:space="preserve"> $F1_air_vol </t>
  </si>
  <si>
    <t xml:space="preserve"> $F2_air_vol </t>
  </si>
  <si>
    <t xml:space="preserve"> $F1_oil_level  </t>
  </si>
  <si>
    <t xml:space="preserve"> $F2_oil_level  </t>
  </si>
  <si>
    <t xml:space="preserve"> $fkspr_wd  </t>
  </si>
  <si>
    <t xml:space="preserve"> $fkspr_ac  </t>
  </si>
  <si>
    <t xml:space="preserve"> $fkspr_od  </t>
  </si>
  <si>
    <t xml:space="preserve"> $F1_start_airV  </t>
  </si>
  <si>
    <t xml:space="preserve"> $calc_wireL  </t>
  </si>
  <si>
    <t xml:space="preserve"> $calc_wireV  </t>
  </si>
  <si>
    <t xml:space="preserve"> $calc_tube_area  </t>
  </si>
  <si>
    <t xml:space="preserve"> f16</t>
  </si>
  <si>
    <t xml:space="preserve"> f20</t>
  </si>
  <si>
    <t xml:space="preserve"> $F2_start_airV  </t>
  </si>
  <si>
    <t xml:space="preserve"> SFF only works for WP spr convers or forks with F1 air, F2 damper</t>
  </si>
  <si>
    <t xml:space="preserve"> 4095f for comparison</t>
  </si>
  <si>
    <t xml:space="preserve"> $F1_F2_stroke_airV  </t>
  </si>
  <si>
    <t xml:space="preserve"> $F1_position_airV  </t>
  </si>
  <si>
    <t xml:space="preserve"> f23</t>
  </si>
  <si>
    <t xml:space="preserve"> f25</t>
  </si>
  <si>
    <t xml:space="preserve"> f26</t>
  </si>
  <si>
    <t xml:space="preserve"> $F2_position_airV  </t>
  </si>
  <si>
    <t xml:space="preserve"> $F1_resulting_press  </t>
  </si>
  <si>
    <t xml:space="preserve"> $F2_resulting_press  </t>
  </si>
  <si>
    <t xml:space="preserve"> $F1_delta_press  </t>
  </si>
  <si>
    <t xml:space="preserve"> $F2_delta_press  </t>
  </si>
  <si>
    <t xml:space="preserve"> $F1_str_gasforce  </t>
  </si>
  <si>
    <t xml:space="preserve"> $F2_str_gasforce  </t>
  </si>
  <si>
    <t xml:space="preserve"> $fktube_dia  </t>
  </si>
  <si>
    <t xml:space="preserve"> f27</t>
  </si>
  <si>
    <t xml:space="preserve"> f30</t>
  </si>
  <si>
    <t xml:space="preserve"> f31</t>
  </si>
  <si>
    <t xml:space="preserve"> $icspr_prel  </t>
  </si>
  <si>
    <t xml:space="preserve"> e10</t>
  </si>
  <si>
    <t xml:space="preserve"> e14</t>
  </si>
  <si>
    <t xml:space="preserve"> e16</t>
  </si>
  <si>
    <t xml:space="preserve"> e17</t>
  </si>
  <si>
    <t xml:space="preserve"> e18</t>
  </si>
  <si>
    <t xml:space="preserve"> e20</t>
  </si>
  <si>
    <t xml:space="preserve"> e21</t>
  </si>
  <si>
    <t xml:space="preserve"> DFF</t>
  </si>
  <si>
    <t xml:space="preserve"> $F1_F2_total_gasforce  </t>
  </si>
  <si>
    <t xml:space="preserve"> f29</t>
  </si>
  <si>
    <t xml:space="preserve"> f28</t>
  </si>
  <si>
    <t xml:space="preserve"> F1</t>
  </si>
  <si>
    <t xml:space="preserve"> F2</t>
  </si>
  <si>
    <t xml:space="preserve">  </t>
  </si>
  <si>
    <t xml:space="preserve"> = ((    14.7    *    F19    /    (    F19    -    (    F$4    /    10    )    *    F$17    ))    -    14.7    )    *    F$17    *    0.155</t>
  </si>
  <si>
    <t>$F1_start_airV</t>
  </si>
  <si>
    <t>stroke</t>
  </si>
  <si>
    <t xml:space="preserve">         $calc_tube_area  </t>
  </si>
  <si>
    <t xml:space="preserve">  =    D9    *    (    D4    *    D12    /    D16    +    D10    )    /    D16    *    D12    *    2.2046</t>
  </si>
  <si>
    <t xml:space="preserve"> $icspr_rate</t>
  </si>
  <si>
    <t xml:space="preserve">            $area_rod</t>
  </si>
  <si>
    <t xml:space="preserve"> $area_icrod_icpist</t>
  </si>
  <si>
    <t xml:space="preserve">  $area_rod</t>
  </si>
  <si>
    <t xml:space="preserve">     a</t>
  </si>
  <si>
    <t xml:space="preserve">   d</t>
  </si>
  <si>
    <t xml:space="preserve">          c</t>
  </si>
  <si>
    <t xml:space="preserve"> NOTE: icspr force is very close to  VLM</t>
  </si>
  <si>
    <t>we set up fork were everything is doubled</t>
  </si>
  <si>
    <t xml:space="preserve">   =     ((     B19     /     C19     )     -     (     D24     *     E19     ))     /     (     D24     +     F19     +     G19     )</t>
  </si>
  <si>
    <t xml:space="preserve"> $kgas50</t>
  </si>
  <si>
    <t xml:space="preserve"> $kics50</t>
  </si>
  <si>
    <t>a               b                              c                  d                              c                 e                 f</t>
  </si>
  <si>
    <t xml:space="preserve"> [lev_60]</t>
  </si>
  <si>
    <t xml:space="preserve"> foale MR and Calvin LR are the same  [sh .40, fk 1.11]</t>
  </si>
  <si>
    <t>We used this in vdb sag, but not elsewhere</t>
  </si>
  <si>
    <t xml:space="preserve"> $rearwt_sagfk    $lev_ratio_0      $spr_lb_mmfk      $lrprel                               $kgas50       $kics50</t>
  </si>
  <si>
    <t xml:space="preserve"> $spr_lb_mmfk</t>
  </si>
  <si>
    <t xml:space="preserve"> $rearwt_sagfk</t>
  </si>
  <si>
    <t xml:space="preserve"> whl = </t>
  </si>
  <si>
    <t>$lev_ratio_0</t>
  </si>
  <si>
    <t xml:space="preserve">          $spr_lb_mmfk</t>
  </si>
  <si>
    <t xml:space="preserve"> $lev_ratio_0</t>
  </si>
  <si>
    <t xml:space="preserve">          [lev_shtr_140]</t>
  </si>
  <si>
    <t xml:space="preserve"> wheel force = ( prel + shaft travel ) * ( spring rate / LR )</t>
  </si>
  <si>
    <t>spr rate</t>
  </si>
  <si>
    <t>shaft tr</t>
  </si>
  <si>
    <t xml:space="preserve">                  $TR_140</t>
  </si>
  <si>
    <t xml:space="preserve">   $TR_140</t>
  </si>
  <si>
    <t>g</t>
  </si>
  <si>
    <t xml:space="preserve">This is used for fork ---&gt;   </t>
  </si>
  <si>
    <t xml:space="preserve"> Used for fork</t>
  </si>
  <si>
    <t xml:space="preserve">  Only used is sag, see above for Fwheel</t>
  </si>
  <si>
    <t xml:space="preserve"> shaft travel</t>
  </si>
  <si>
    <t xml:space="preserve"> TR</t>
  </si>
  <si>
    <t xml:space="preserve"> shock</t>
  </si>
  <si>
    <t xml:space="preserve"> MR</t>
  </si>
  <si>
    <t xml:space="preserve"> -- We played with this, but it's too simple and didn't work</t>
  </si>
  <si>
    <t>We used the original shock formula (with LR and TR) for the fork</t>
  </si>
  <si>
    <t>THESE FORMULAS CALCULATE    FORCE AT THE WHEEL    FOR SPRING    GAS FORCE IS ADDED AFTER THE FACT</t>
  </si>
  <si>
    <t>On forks, these formulas calculate   FORCE AT THE WHEEL    for the spring only</t>
  </si>
  <si>
    <t>We used this in vdb fork wf    openLevRatioFk_rz    AND    openLevRatioFkSh_compare_wf</t>
  </si>
  <si>
    <t xml:space="preserve"> 2-13-23</t>
  </si>
  <si>
    <t xml:space="preserve">                 b</t>
  </si>
  <si>
    <t xml:space="preserve">               a</t>
  </si>
  <si>
    <t xml:space="preserve">      e</t>
  </si>
  <si>
    <t xml:space="preserve">   =         F17         *         B21         *         (    K17          /         I17         +         C17         )       +       (         E17         *         F17       )</t>
  </si>
  <si>
    <t xml:space="preserve">         $Fgas (unused)          $lev_ratio_0 (unused with fork)</t>
  </si>
  <si>
    <t>$starting_MR</t>
  </si>
  <si>
    <t>$vs_gasforce</t>
  </si>
  <si>
    <t>$vs_lrprel</t>
  </si>
  <si>
    <t xml:space="preserve"> $starting_TR</t>
  </si>
  <si>
    <t xml:space="preserve"> SHOCK</t>
  </si>
  <si>
    <t xml:space="preserve"> increm diff</t>
  </si>
  <si>
    <t xml:space="preserve"> diff</t>
  </si>
  <si>
    <t xml:space="preserve"> step</t>
  </si>
  <si>
    <t xml:space="preserve"> shaft tr</t>
  </si>
  <si>
    <t xml:space="preserve"> increm total</t>
  </si>
  <si>
    <t>excel spr</t>
  </si>
  <si>
    <t>vdb spr</t>
  </si>
  <si>
    <t>rstk spr</t>
  </si>
  <si>
    <t>SHOCK</t>
  </si>
  <si>
    <t>whl tr</t>
  </si>
  <si>
    <t xml:space="preserve"> (from your program)</t>
  </si>
  <si>
    <t>lb diff</t>
  </si>
  <si>
    <t xml:space="preserve"> rstk - vdb</t>
  </si>
  <si>
    <t xml:space="preserve">  Spring force calculations, no gas force</t>
  </si>
  <si>
    <t xml:space="preserve"> - unsprung</t>
  </si>
  <si>
    <t xml:space="preserve"> 2-16-23</t>
  </si>
  <si>
    <t xml:space="preserve">  We used this formula on openLevRatioSh_rz.php and openLevRatioFkSh_compare_wf.php</t>
  </si>
  <si>
    <t>Shock</t>
  </si>
  <si>
    <t>Fork</t>
  </si>
  <si>
    <t xml:space="preserve">stroke from race sag  </t>
  </si>
  <si>
    <t>%diff</t>
  </si>
  <si>
    <t>fk/sh</t>
  </si>
  <si>
    <t>Equal wheel force guidelines</t>
  </si>
  <si>
    <t xml:space="preserve"> Bert    19sxf350    3791f  3783s</t>
  </si>
  <si>
    <t xml:space="preserve"> Males/Cody    18xc300    4095f  4096s</t>
  </si>
  <si>
    <t xml:space="preserve"> Shoecraft    17yzx250    3638f  3636s</t>
  </si>
  <si>
    <t xml:space="preserve"> Fellows    19sxf350    3942f  3733s</t>
  </si>
  <si>
    <t xml:space="preserve">    Extremely soft rocks and root setting with softer fork spring.</t>
  </si>
  <si>
    <t xml:space="preserve">    Stock fork and shock settings with stock springs.</t>
  </si>
  <si>
    <t xml:space="preserve"> 265 lb rider wt</t>
  </si>
  <si>
    <t xml:space="preserve"> 5.5kg</t>
  </si>
  <si>
    <t xml:space="preserve"> 175 lb rider wt</t>
  </si>
  <si>
    <t xml:space="preserve"> 4.9kg</t>
  </si>
  <si>
    <t xml:space="preserve"> 200 lb rider wt</t>
  </si>
  <si>
    <t xml:space="preserve">    Well balanced setting for fast XC with mostly dirt.</t>
  </si>
  <si>
    <t xml:space="preserve"> 4.55kg</t>
  </si>
  <si>
    <t xml:space="preserve">    Forks unproportionatly stiff for aggressive MX jumping.</t>
  </si>
  <si>
    <t xml:space="preserve"> 4.5kg</t>
  </si>
  <si>
    <t xml:space="preserve"> 185 lb rider wt</t>
  </si>
  <si>
    <t xml:space="preserve">    4095f, rocks and roots may require much softer.</t>
  </si>
  <si>
    <t xml:space="preserve">    Forks are usually stiffer than the shock.  But as per</t>
  </si>
  <si>
    <t xml:space="preserve"> FkShLevRatio_sag_wf.xlsx  </t>
  </si>
  <si>
    <t xml:space="preserve"> $icspr_prel</t>
  </si>
  <si>
    <t xml:space="preserve">  -heat 1.00    +heat 1.38  </t>
  </si>
  <si>
    <t xml:space="preserve"> f5</t>
  </si>
  <si>
    <t xml:space="preserve">  double  -&gt;</t>
  </si>
  <si>
    <t xml:space="preserve"> tweak -&gt;  </t>
  </si>
  <si>
    <t xml:space="preserve"> To get this to match VLM,</t>
  </si>
  <si>
    <t xml:space="preserve">we added 2.675 dead coils -&gt;  </t>
  </si>
  <si>
    <t>this excel</t>
  </si>
  <si>
    <t>VLM</t>
  </si>
  <si>
    <t>ips</t>
  </si>
  <si>
    <t>dead</t>
  </si>
  <si>
    <t>heat</t>
  </si>
  <si>
    <t>match at 180</t>
  </si>
  <si>
    <t>close enough</t>
  </si>
  <si>
    <t>VDB</t>
  </si>
  <si>
    <t xml:space="preserve"> gas force</t>
  </si>
  <si>
    <t>calculate</t>
  </si>
  <si>
    <t xml:space="preserve"> =     F24     *     F16     *     0.155</t>
  </si>
  <si>
    <t xml:space="preserve"> =     F23     -     14.7</t>
  </si>
  <si>
    <t xml:space="preserve"> =     14.7     *     (     F18     /     F20     )     ^     F22     -     14.7     *     f16     *     .155</t>
  </si>
  <si>
    <t xml:space="preserve">           $start_airV  </t>
  </si>
  <si>
    <t xml:space="preserve"> $position_airV</t>
  </si>
  <si>
    <t xml:space="preserve">            .155</t>
  </si>
  <si>
    <t xml:space="preserve">$start_airV  </t>
  </si>
  <si>
    <t xml:space="preserve">          stroke cm</t>
  </si>
  <si>
    <t xml:space="preserve">      1.32</t>
  </si>
  <si>
    <t xml:space="preserve">   (    f18    -    (    F4    /    10    )    *    F16    )</t>
  </si>
  <si>
    <t xml:space="preserve">$calc_tube_area     </t>
  </si>
  <si>
    <t>FORK</t>
  </si>
  <si>
    <t>This one is not complete, see DFF_kyb</t>
  </si>
  <si>
    <t xml:space="preserve"> doesn't loose heat</t>
  </si>
  <si>
    <t xml:space="preserve"> +heat</t>
  </si>
  <si>
    <t xml:space="preserve"> looses all the heat</t>
  </si>
  <si>
    <t xml:space="preserve"> no heat  / without temp gain</t>
  </si>
  <si>
    <t xml:space="preserve"> what if</t>
  </si>
  <si>
    <t xml:space="preserve"> Calvin calculated this:    220 stroke with 1.8 Loil = 227.45 cc (end vol)</t>
  </si>
  <si>
    <t xml:space="preserve"> = restackor calulation</t>
  </si>
  <si>
    <t xml:space="preserve">     By change    B6</t>
  </si>
  <si>
    <t xml:space="preserve">     To value       '77'</t>
  </si>
  <si>
    <t xml:space="preserve">     Set cell          I6</t>
  </si>
  <si>
    <t xml:space="preserve">   First set C6 to number</t>
  </si>
  <si>
    <t xml:space="preserve"> - end vol</t>
  </si>
  <si>
    <t xml:space="preserve"> Data &gt; What If ? Goal seak -&gt;</t>
  </si>
  <si>
    <t>incorrect  ---&gt;</t>
  </si>
  <si>
    <t xml:space="preserve"> mm dia</t>
  </si>
  <si>
    <t>[cc]</t>
  </si>
  <si>
    <t>[cm^2]</t>
  </si>
  <si>
    <t>[cm]</t>
  </si>
  <si>
    <t xml:space="preserve"> [psig]</t>
  </si>
  <si>
    <t xml:space="preserve"> [psia]</t>
  </si>
  <si>
    <t>Calvins formula for tube area</t>
  </si>
  <si>
    <t>initial vol</t>
  </si>
  <si>
    <t>end vol</t>
  </si>
  <si>
    <t>tube area</t>
  </si>
  <si>
    <t>mm str</t>
  </si>
  <si>
    <t>P.one</t>
  </si>
  <si>
    <t xml:space="preserve">       V.one</t>
  </si>
  <si>
    <t xml:space="preserve">       V.zero</t>
  </si>
  <si>
    <t>P.zero</t>
  </si>
  <si>
    <t>absolute</t>
  </si>
  <si>
    <t xml:space="preserve"> gauge</t>
  </si>
  <si>
    <t xml:space="preserve"> 2-19-23</t>
  </si>
  <si>
    <t xml:space="preserve">  These charts have incorrect fork numbers</t>
  </si>
  <si>
    <t xml:space="preserve">  with the original incorrect heat gain.</t>
  </si>
  <si>
    <t xml:space="preserve">  See new</t>
  </si>
  <si>
    <t xml:space="preserve"> f32</t>
  </si>
  <si>
    <t>Fgas x2</t>
  </si>
  <si>
    <t xml:space="preserve"> 3638f</t>
  </si>
  <si>
    <t xml:space="preserve"> 17yzx250</t>
  </si>
  <si>
    <t xml:space="preserve"> match??</t>
  </si>
  <si>
    <t xml:space="preserve"> 14.7                          $start_airV         $position_airV          1.32                    14.7                       $calc_tube_area        .155</t>
  </si>
  <si>
    <t xml:space="preserve"> 14.7                          $start_airV             $start_airV          stroke [cm]        $calc_tube_area            1.32                    14.7                       $calc_tube_area        .155</t>
  </si>
  <si>
    <t xml:space="preserve"> =          (          14.7          *          (          F18          /          F20          ) ^           F22          -          14.7          )          *          F16          *          .155</t>
  </si>
  <si>
    <t xml:space="preserve"> =          (          14.7          *          (          F18          /         (      F18       -       (  F4  /  10  )       *       F16  )          ) ^           F22          -          14.7          )          *          F16          *          .155</t>
  </si>
  <si>
    <t xml:space="preserve">    $a                              $a                          $b                           $c                                                                                                  $c</t>
  </si>
  <si>
    <t xml:space="preserve"> Final formula for VDB</t>
  </si>
  <si>
    <t xml:space="preserve">  same</t>
  </si>
  <si>
    <t xml:space="preserve"> 20 seff 450</t>
  </si>
  <si>
    <t xml:space="preserve"> 3881  f1</t>
  </si>
  <si>
    <t>str [inch]</t>
  </si>
  <si>
    <t>We tested this fork with oil only.  Static 3-6-9str</t>
  </si>
  <si>
    <t xml:space="preserve">  intrp(u10,Energy!$B$32:$B$61,Energy!$D$32:$D$61</t>
  </si>
  <si>
    <t>Fgas+Fics</t>
  </si>
  <si>
    <t>Fics</t>
  </si>
  <si>
    <t>Fgas</t>
  </si>
  <si>
    <t xml:space="preserve">  but not accurate</t>
  </si>
  <si>
    <t>shaft</t>
  </si>
  <si>
    <t>shftk.tr</t>
  </si>
  <si>
    <t>ywheel</t>
  </si>
  <si>
    <t>lr</t>
  </si>
  <si>
    <t>yshaft</t>
  </si>
  <si>
    <t>wheel</t>
  </si>
  <si>
    <t>Save this tab incase we want to see the w.rear stuff</t>
  </si>
  <si>
    <t>F.whl x2</t>
  </si>
  <si>
    <t xml:space="preserve">  Only used is sag, see above for Fspr</t>
  </si>
  <si>
    <t xml:space="preserve">   $TR_180</t>
  </si>
  <si>
    <t xml:space="preserve"> Enter dbl spr rate</t>
  </si>
  <si>
    <t>F.whl xLR</t>
  </si>
  <si>
    <t xml:space="preserve"> whl.tr</t>
  </si>
  <si>
    <t xml:space="preserve"> shft.tr</t>
  </si>
  <si>
    <t xml:space="preserve"> [lev_shtr_180]</t>
  </si>
  <si>
    <t xml:space="preserve">               $a                      $b                           $c                         $d                     $e                         </t>
  </si>
  <si>
    <t xml:space="preserve">   =         F17         *         B21         *         (    K17          /         I17         +         C17         )  </t>
  </si>
  <si>
    <t xml:space="preserve">     $lev_ratio_0     $spr_lb_mmfk     [lev_shtr_180]      $TR_180             $lrprel</t>
  </si>
  <si>
    <t>this</t>
  </si>
  <si>
    <t>na</t>
  </si>
  <si>
    <t xml:space="preserve">  Spring rate not used in F.gas</t>
  </si>
  <si>
    <t>F.gas xLR</t>
  </si>
  <si>
    <t xml:space="preserve"> ??</t>
  </si>
  <si>
    <t>F.ics</t>
  </si>
  <si>
    <t>enter this</t>
  </si>
  <si>
    <t>in VLM</t>
  </si>
  <si>
    <t xml:space="preserve"> no heat</t>
  </si>
  <si>
    <t xml:space="preserve"> with heat</t>
  </si>
  <si>
    <t xml:space="preserve"> 3791f</t>
  </si>
  <si>
    <t xml:space="preserve"> from VDB</t>
  </si>
  <si>
    <t>wheel sag</t>
  </si>
  <si>
    <t>shaft sag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</si>
</sst>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.00000000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3333FF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00B0F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9"/>
      <color rgb="FF000000"/>
      <name val="Trebuchet MS"/>
      <family val="2"/>
    </font>
    <font>
      <sz val="8"/>
      <color theme="1"/>
      <name val="Trebuchet MS"/>
      <family val="2"/>
    </font>
    <font>
      <sz val="8"/>
      <color theme="9" tint="-0.249977111117893"/>
      <name val="Trebuchet MS"/>
      <family val="2"/>
    </font>
    <font>
      <i/>
      <sz val="8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 tint="0.34998626667073579"/>
      <name val="Trebuchet MS"/>
      <family val="2"/>
    </font>
    <font>
      <sz val="8"/>
      <color rgb="FF0070C0"/>
      <name val="Trebuchet MS"/>
      <family val="2"/>
    </font>
    <font>
      <sz val="8"/>
      <color theme="6" tint="-0.249977111117893"/>
      <name val="Trebuchet MS"/>
      <family val="2"/>
    </font>
    <font>
      <sz val="8"/>
      <color theme="1" tint="0.34998626667073579"/>
      <name val="Calibri"/>
      <family val="2"/>
      <scheme val="minor"/>
    </font>
    <font>
      <sz val="8"/>
      <color theme="1" tint="0.499984740745262"/>
      <name val="Trebuchet MS"/>
      <family val="2"/>
    </font>
    <font>
      <sz val="8"/>
      <color rgb="FFC04D49"/>
      <name val="Trebuchet MS"/>
      <family val="2"/>
    </font>
    <font>
      <sz val="9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E8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FCF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/>
      <right/>
      <top/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EFEBDE"/>
      </left>
      <right style="thin">
        <color rgb="FFEFEBDE"/>
      </right>
      <top style="thin">
        <color rgb="FFEFEBDE"/>
      </top>
      <bottom style="thin">
        <color rgb="FFEFEBDE"/>
      </bottom>
      <diagonal/>
    </border>
    <border>
      <left style="thin">
        <color indexed="64"/>
      </left>
      <right style="thin">
        <color rgb="FFEFEBDE"/>
      </right>
      <top style="thin">
        <color rgb="FFEFEBDE"/>
      </top>
      <bottom style="thin">
        <color rgb="FFEFEBDE"/>
      </bottom>
      <diagonal/>
    </border>
    <border>
      <left style="thin">
        <color indexed="64"/>
      </left>
      <right style="thin">
        <color rgb="FFEFEBDE"/>
      </right>
      <top style="thin">
        <color rgb="FFEFEBDE"/>
      </top>
      <bottom style="thin">
        <color indexed="64"/>
      </bottom>
      <diagonal/>
    </border>
    <border>
      <left style="thin">
        <color rgb="FFEFEBDE"/>
      </left>
      <right style="thin">
        <color rgb="FFEFEBDE"/>
      </right>
      <top style="thin">
        <color rgb="FFEFEBDE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rgb="FF0070C0"/>
      </bottom>
      <diagonal/>
    </border>
    <border>
      <left style="thin">
        <color indexed="64"/>
      </left>
      <right/>
      <top style="thin">
        <color rgb="FF0070C0"/>
      </top>
      <bottom style="thin">
        <color rgb="FF0070C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</borders>
  <cellStyleXfs count="1">
    <xf numFmtId="0" fontId="0" fillId="0" borderId="0"/>
  </cellStyleXfs>
  <cellXfs count="3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quotePrefix="1" applyAlignment="1">
      <alignment horizontal="left"/>
    </xf>
    <xf numFmtId="0" fontId="6" fillId="0" borderId="0" xfId="0" applyFont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7" xfId="0" quotePrefix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6" fillId="0" borderId="0" xfId="0" quotePrefix="1" applyFont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1" fillId="0" borderId="1" xfId="0" quotePrefix="1" applyFont="1" applyBorder="1" applyAlignment="1">
      <alignment horizontal="center"/>
    </xf>
    <xf numFmtId="0" fontId="0" fillId="0" borderId="0" xfId="0" applyAlignment="1">
      <alignment horizontal="right"/>
    </xf>
    <xf numFmtId="166" fontId="0" fillId="0" borderId="0" xfId="0" applyNumberFormat="1"/>
    <xf numFmtId="0" fontId="1" fillId="0" borderId="13" xfId="0" quotePrefix="1" applyFon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3" fillId="0" borderId="15" xfId="0" applyFont="1" applyBorder="1" applyAlignment="1">
      <alignment horizontal="center"/>
    </xf>
    <xf numFmtId="0" fontId="1" fillId="0" borderId="0" xfId="0" applyFont="1"/>
    <xf numFmtId="0" fontId="16" fillId="0" borderId="5" xfId="0" applyFont="1" applyBorder="1"/>
    <xf numFmtId="0" fontId="3" fillId="0" borderId="0" xfId="0" applyFont="1"/>
    <xf numFmtId="0" fontId="0" fillId="0" borderId="0" xfId="0" quotePrefix="1"/>
    <xf numFmtId="1" fontId="0" fillId="0" borderId="0" xfId="0" applyNumberFormat="1"/>
    <xf numFmtId="2" fontId="0" fillId="0" borderId="0" xfId="0" applyNumberFormat="1"/>
    <xf numFmtId="165" fontId="13" fillId="0" borderId="0" xfId="0" applyNumberFormat="1" applyFont="1"/>
    <xf numFmtId="167" fontId="0" fillId="0" borderId="0" xfId="0" applyNumberFormat="1"/>
    <xf numFmtId="0" fontId="3" fillId="0" borderId="15" xfId="0" applyFont="1" applyBorder="1"/>
    <xf numFmtId="0" fontId="17" fillId="0" borderId="15" xfId="0" applyFont="1" applyBorder="1"/>
    <xf numFmtId="2" fontId="1" fillId="0" borderId="20" xfId="0" applyNumberFormat="1" applyFont="1" applyBorder="1"/>
    <xf numFmtId="0" fontId="1" fillId="0" borderId="21" xfId="0" applyFont="1" applyBorder="1"/>
    <xf numFmtId="0" fontId="1" fillId="0" borderId="21" xfId="0" quotePrefix="1" applyFont="1" applyBorder="1" applyAlignment="1">
      <alignment horizontal="left"/>
    </xf>
    <xf numFmtId="0" fontId="0" fillId="0" borderId="22" xfId="0" applyBorder="1"/>
    <xf numFmtId="0" fontId="1" fillId="0" borderId="22" xfId="0" quotePrefix="1" applyFont="1" applyBorder="1" applyAlignment="1">
      <alignment horizontal="left"/>
    </xf>
    <xf numFmtId="2" fontId="0" fillId="0" borderId="20" xfId="0" quotePrefix="1" applyNumberForma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right"/>
    </xf>
    <xf numFmtId="0" fontId="6" fillId="0" borderId="8" xfId="0" applyFont="1" applyBorder="1"/>
    <xf numFmtId="2" fontId="0" fillId="0" borderId="11" xfId="0" applyNumberFormat="1" applyBorder="1"/>
    <xf numFmtId="0" fontId="0" fillId="0" borderId="21" xfId="0" applyBorder="1"/>
    <xf numFmtId="0" fontId="1" fillId="0" borderId="20" xfId="0" applyFont="1" applyBorder="1"/>
    <xf numFmtId="0" fontId="0" fillId="0" borderId="9" xfId="0" quotePrefix="1" applyBorder="1" applyAlignment="1">
      <alignment horizontal="left"/>
    </xf>
    <xf numFmtId="167" fontId="0" fillId="0" borderId="9" xfId="0" applyNumberFormat="1" applyBorder="1"/>
    <xf numFmtId="2" fontId="0" fillId="0" borderId="20" xfId="0" applyNumberFormat="1" applyBorder="1"/>
    <xf numFmtId="0" fontId="1" fillId="0" borderId="5" xfId="0" applyFont="1" applyBorder="1"/>
    <xf numFmtId="0" fontId="6" fillId="0" borderId="0" xfId="0" applyFont="1"/>
    <xf numFmtId="2" fontId="0" fillId="0" borderId="23" xfId="0" quotePrefix="1" applyNumberFormat="1" applyBorder="1" applyAlignment="1">
      <alignment horizontal="right"/>
    </xf>
    <xf numFmtId="0" fontId="0" fillId="0" borderId="24" xfId="0" applyBorder="1"/>
    <xf numFmtId="2" fontId="1" fillId="0" borderId="23" xfId="0" quotePrefix="1" applyNumberFormat="1" applyFont="1" applyBorder="1" applyAlignment="1">
      <alignment horizontal="right"/>
    </xf>
    <xf numFmtId="0" fontId="3" fillId="0" borderId="23" xfId="0" applyFont="1" applyBorder="1"/>
    <xf numFmtId="0" fontId="19" fillId="0" borderId="0" xfId="0" quotePrefix="1" applyFont="1" applyAlignment="1">
      <alignment horizontal="left"/>
    </xf>
    <xf numFmtId="0" fontId="0" fillId="0" borderId="25" xfId="0" applyBorder="1"/>
    <xf numFmtId="0" fontId="0" fillId="0" borderId="26" xfId="0" applyBorder="1" applyAlignment="1">
      <alignment horizontal="right"/>
    </xf>
    <xf numFmtId="166" fontId="0" fillId="0" borderId="26" xfId="0" applyNumberFormat="1" applyBorder="1"/>
    <xf numFmtId="0" fontId="19" fillId="0" borderId="27" xfId="0" applyFont="1" applyBorder="1"/>
    <xf numFmtId="0" fontId="12" fillId="0" borderId="29" xfId="0" quotePrefix="1" applyFont="1" applyBorder="1" applyAlignment="1">
      <alignment horizontal="right"/>
    </xf>
    <xf numFmtId="0" fontId="12" fillId="0" borderId="28" xfId="0" applyFont="1" applyBorder="1"/>
    <xf numFmtId="2" fontId="12" fillId="0" borderId="29" xfId="0" applyNumberFormat="1" applyFont="1" applyBorder="1"/>
    <xf numFmtId="0" fontId="20" fillId="0" borderId="30" xfId="0" applyFont="1" applyBorder="1"/>
    <xf numFmtId="0" fontId="0" fillId="0" borderId="31" xfId="0" applyBorder="1"/>
    <xf numFmtId="0" fontId="0" fillId="0" borderId="29" xfId="0" applyBorder="1"/>
    <xf numFmtId="0" fontId="6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16" fillId="0" borderId="32" xfId="0" applyFont="1" applyBorder="1"/>
    <xf numFmtId="0" fontId="22" fillId="0" borderId="0" xfId="0" applyFont="1" applyAlignment="1">
      <alignment horizontal="center"/>
    </xf>
    <xf numFmtId="0" fontId="21" fillId="0" borderId="0" xfId="0" applyFont="1"/>
    <xf numFmtId="0" fontId="16" fillId="0" borderId="33" xfId="0" quotePrefix="1" applyFont="1" applyBorder="1" applyAlignment="1">
      <alignment horizontal="left"/>
    </xf>
    <xf numFmtId="0" fontId="23" fillId="0" borderId="0" xfId="0" quotePrefix="1" applyFont="1" applyAlignment="1">
      <alignment horizontal="center"/>
    </xf>
    <xf numFmtId="0" fontId="24" fillId="0" borderId="0" xfId="0" applyFont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34" xfId="0" applyBorder="1"/>
    <xf numFmtId="0" fontId="0" fillId="0" borderId="36" xfId="0" applyBorder="1"/>
    <xf numFmtId="0" fontId="0" fillId="0" borderId="35" xfId="0" applyBorder="1"/>
    <xf numFmtId="0" fontId="0" fillId="0" borderId="18" xfId="0" applyBorder="1"/>
    <xf numFmtId="0" fontId="0" fillId="0" borderId="37" xfId="0" applyBorder="1"/>
    <xf numFmtId="0" fontId="0" fillId="0" borderId="19" xfId="0" applyBorder="1"/>
    <xf numFmtId="0" fontId="22" fillId="0" borderId="0" xfId="0" applyFont="1"/>
    <xf numFmtId="0" fontId="2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2" borderId="1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5" fillId="0" borderId="5" xfId="0" applyFont="1" applyBorder="1"/>
    <xf numFmtId="0" fontId="1" fillId="0" borderId="8" xfId="0" applyFont="1" applyBorder="1" applyAlignment="1">
      <alignment horizontal="center"/>
    </xf>
    <xf numFmtId="0" fontId="0" fillId="0" borderId="8" xfId="0" quotePrefix="1" applyBorder="1" applyAlignment="1">
      <alignment horizontal="left"/>
    </xf>
    <xf numFmtId="0" fontId="0" fillId="0" borderId="10" xfId="0" quotePrefix="1" applyBorder="1" applyAlignment="1">
      <alignment horizontal="left"/>
    </xf>
    <xf numFmtId="0" fontId="22" fillId="0" borderId="6" xfId="0" applyFont="1" applyBorder="1" applyAlignment="1">
      <alignment horizontal="center"/>
    </xf>
    <xf numFmtId="0" fontId="16" fillId="0" borderId="6" xfId="0" quotePrefix="1" applyFont="1" applyBorder="1" applyAlignment="1">
      <alignment horizontal="left"/>
    </xf>
    <xf numFmtId="164" fontId="0" fillId="0" borderId="6" xfId="0" applyNumberFormat="1" applyBorder="1"/>
    <xf numFmtId="0" fontId="3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quotePrefix="1" applyFont="1" applyAlignment="1">
      <alignment horizontal="left"/>
    </xf>
    <xf numFmtId="0" fontId="15" fillId="0" borderId="0" xfId="0" applyFont="1" applyAlignment="1">
      <alignment horizontal="center"/>
    </xf>
    <xf numFmtId="0" fontId="1" fillId="0" borderId="8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2" fontId="0" fillId="0" borderId="8" xfId="0" applyNumberFormat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26" fillId="0" borderId="0" xfId="0" applyFont="1"/>
    <xf numFmtId="0" fontId="26" fillId="0" borderId="0" xfId="0" quotePrefix="1" applyFont="1" applyAlignment="1">
      <alignment horizontal="left"/>
    </xf>
    <xf numFmtId="0" fontId="26" fillId="0" borderId="8" xfId="0" quotePrefix="1" applyFont="1" applyBorder="1" applyAlignment="1">
      <alignment horizontal="left"/>
    </xf>
    <xf numFmtId="0" fontId="22" fillId="0" borderId="0" xfId="0" quotePrefix="1" applyFont="1" applyAlignment="1">
      <alignment horizontal="left"/>
    </xf>
    <xf numFmtId="0" fontId="22" fillId="0" borderId="0" xfId="0" applyFont="1" applyAlignment="1">
      <alignment horizontal="left"/>
    </xf>
    <xf numFmtId="0" fontId="28" fillId="0" borderId="0" xfId="0" quotePrefix="1" applyFont="1" applyAlignment="1">
      <alignment horizontal="center"/>
    </xf>
    <xf numFmtId="2" fontId="3" fillId="0" borderId="15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29" fillId="0" borderId="0" xfId="0" applyFont="1" applyAlignment="1">
      <alignment horizontal="center"/>
    </xf>
    <xf numFmtId="0" fontId="0" fillId="0" borderId="34" xfId="0" applyBorder="1" applyAlignment="1">
      <alignment horizontal="right"/>
    </xf>
    <xf numFmtId="2" fontId="0" fillId="0" borderId="36" xfId="0" applyNumberFormat="1" applyBorder="1"/>
    <xf numFmtId="0" fontId="23" fillId="0" borderId="38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quotePrefix="1" applyFont="1" applyAlignment="1">
      <alignment horizontal="center"/>
    </xf>
    <xf numFmtId="165" fontId="30" fillId="0" borderId="0" xfId="0" quotePrefix="1" applyNumberFormat="1" applyFont="1" applyAlignment="1">
      <alignment horizontal="center"/>
    </xf>
    <xf numFmtId="0" fontId="3" fillId="0" borderId="35" xfId="0" applyFont="1" applyBorder="1"/>
    <xf numFmtId="2" fontId="0" fillId="0" borderId="35" xfId="0" applyNumberFormat="1" applyBorder="1"/>
    <xf numFmtId="2" fontId="13" fillId="0" borderId="0" xfId="0" applyNumberFormat="1" applyFont="1"/>
    <xf numFmtId="0" fontId="3" fillId="3" borderId="1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" fillId="3" borderId="0" xfId="0" applyFont="1" applyFill="1"/>
    <xf numFmtId="164" fontId="13" fillId="2" borderId="0" xfId="0" applyNumberFormat="1" applyFont="1" applyFill="1" applyAlignment="1">
      <alignment horizontal="center"/>
    </xf>
    <xf numFmtId="164" fontId="13" fillId="3" borderId="0" xfId="0" applyNumberFormat="1" applyFont="1" applyFill="1" applyAlignment="1">
      <alignment horizontal="center"/>
    </xf>
    <xf numFmtId="164" fontId="10" fillId="0" borderId="0" xfId="0" applyNumberFormat="1" applyFont="1" applyAlignment="1">
      <alignment horizontal="center"/>
    </xf>
    <xf numFmtId="0" fontId="0" fillId="0" borderId="9" xfId="0" applyBorder="1" applyAlignment="1">
      <alignment horizontal="right"/>
    </xf>
    <xf numFmtId="0" fontId="3" fillId="0" borderId="40" xfId="0" applyFont="1" applyBorder="1" applyAlignment="1">
      <alignment horizontal="center"/>
    </xf>
    <xf numFmtId="165" fontId="0" fillId="0" borderId="40" xfId="0" applyNumberFormat="1" applyBorder="1" applyAlignment="1">
      <alignment horizontal="center"/>
    </xf>
    <xf numFmtId="0" fontId="13" fillId="0" borderId="40" xfId="0" applyFont="1" applyBorder="1" applyAlignment="1">
      <alignment horizontal="center"/>
    </xf>
    <xf numFmtId="164" fontId="13" fillId="0" borderId="41" xfId="0" applyNumberFormat="1" applyFon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0" fontId="32" fillId="4" borderId="42" xfId="0" applyFont="1" applyFill="1" applyBorder="1" applyAlignment="1">
      <alignment horizontal="center" vertical="center" wrapText="1"/>
    </xf>
    <xf numFmtId="0" fontId="0" fillId="5" borderId="0" xfId="0" applyFill="1"/>
    <xf numFmtId="9" fontId="41" fillId="2" borderId="42" xfId="0" applyNumberFormat="1" applyFont="1" applyFill="1" applyBorder="1" applyAlignment="1">
      <alignment horizontal="center" vertical="center" wrapText="1"/>
    </xf>
    <xf numFmtId="0" fontId="42" fillId="2" borderId="43" xfId="0" applyFont="1" applyFill="1" applyBorder="1" applyAlignment="1">
      <alignment horizontal="center" vertical="center" wrapText="1"/>
    </xf>
    <xf numFmtId="0" fontId="42" fillId="2" borderId="42" xfId="0" applyFont="1" applyFill="1" applyBorder="1" applyAlignment="1">
      <alignment horizontal="center" vertical="center" wrapText="1"/>
    </xf>
    <xf numFmtId="0" fontId="37" fillId="6" borderId="5" xfId="0" applyFont="1" applyFill="1" applyBorder="1"/>
    <xf numFmtId="0" fontId="40" fillId="6" borderId="6" xfId="0" applyFont="1" applyFill="1" applyBorder="1" applyAlignment="1">
      <alignment horizontal="center" vertical="center"/>
    </xf>
    <xf numFmtId="0" fontId="40" fillId="6" borderId="6" xfId="0" applyFont="1" applyFill="1" applyBorder="1"/>
    <xf numFmtId="0" fontId="35" fillId="6" borderId="7" xfId="0" applyFont="1" applyFill="1" applyBorder="1" applyAlignment="1">
      <alignment horizontal="right"/>
    </xf>
    <xf numFmtId="0" fontId="37" fillId="6" borderId="8" xfId="0" applyFont="1" applyFill="1" applyBorder="1"/>
    <xf numFmtId="0" fontId="40" fillId="6" borderId="0" xfId="0" applyFont="1" applyFill="1"/>
    <xf numFmtId="0" fontId="37" fillId="6" borderId="0" xfId="0" applyFont="1" applyFill="1"/>
    <xf numFmtId="0" fontId="40" fillId="6" borderId="9" xfId="0" applyFont="1" applyFill="1" applyBorder="1"/>
    <xf numFmtId="0" fontId="36" fillId="6" borderId="0" xfId="0" applyFont="1" applyFill="1"/>
    <xf numFmtId="0" fontId="36" fillId="6" borderId="9" xfId="0" applyFont="1" applyFill="1" applyBorder="1"/>
    <xf numFmtId="0" fontId="37" fillId="6" borderId="8" xfId="0" applyFont="1" applyFill="1" applyBorder="1" applyAlignment="1">
      <alignment horizontal="center"/>
    </xf>
    <xf numFmtId="0" fontId="37" fillId="6" borderId="0" xfId="0" applyFont="1" applyFill="1" applyAlignment="1">
      <alignment horizontal="center"/>
    </xf>
    <xf numFmtId="0" fontId="34" fillId="6" borderId="0" xfId="0" quotePrefix="1" applyFont="1" applyFill="1" applyAlignment="1">
      <alignment horizontal="left"/>
    </xf>
    <xf numFmtId="0" fontId="33" fillId="6" borderId="8" xfId="0" applyFont="1" applyFill="1" applyBorder="1" applyAlignment="1">
      <alignment horizontal="center"/>
    </xf>
    <xf numFmtId="0" fontId="33" fillId="6" borderId="0" xfId="0" applyFont="1" applyFill="1" applyAlignment="1">
      <alignment horizontal="center"/>
    </xf>
    <xf numFmtId="0" fontId="39" fillId="6" borderId="8" xfId="0" applyFont="1" applyFill="1" applyBorder="1" applyAlignment="1">
      <alignment horizontal="center" vertical="center"/>
    </xf>
    <xf numFmtId="0" fontId="38" fillId="6" borderId="0" xfId="0" applyFont="1" applyFill="1" applyAlignment="1">
      <alignment horizontal="center" vertical="center"/>
    </xf>
    <xf numFmtId="0" fontId="42" fillId="6" borderId="43" xfId="0" applyFont="1" applyFill="1" applyBorder="1" applyAlignment="1">
      <alignment horizontal="center" vertical="center" wrapText="1"/>
    </xf>
    <xf numFmtId="0" fontId="42" fillId="6" borderId="42" xfId="0" applyFont="1" applyFill="1" applyBorder="1" applyAlignment="1">
      <alignment horizontal="center" vertical="center" wrapText="1"/>
    </xf>
    <xf numFmtId="9" fontId="41" fillId="6" borderId="42" xfId="0" applyNumberFormat="1" applyFont="1" applyFill="1" applyBorder="1" applyAlignment="1">
      <alignment horizontal="center" vertical="center" wrapText="1"/>
    </xf>
    <xf numFmtId="0" fontId="42" fillId="6" borderId="44" xfId="0" applyFont="1" applyFill="1" applyBorder="1" applyAlignment="1">
      <alignment horizontal="center" vertical="center" wrapText="1"/>
    </xf>
    <xf numFmtId="0" fontId="42" fillId="6" borderId="45" xfId="0" applyFont="1" applyFill="1" applyBorder="1" applyAlignment="1">
      <alignment horizontal="center" vertical="center" wrapText="1"/>
    </xf>
    <xf numFmtId="9" fontId="37" fillId="6" borderId="45" xfId="0" applyNumberFormat="1" applyFont="1" applyFill="1" applyBorder="1" applyAlignment="1">
      <alignment horizontal="center" vertical="center" wrapText="1"/>
    </xf>
    <xf numFmtId="0" fontId="36" fillId="6" borderId="11" xfId="0" applyFont="1" applyFill="1" applyBorder="1"/>
    <xf numFmtId="0" fontId="36" fillId="6" borderId="12" xfId="0" applyFont="1" applyFill="1" applyBorder="1"/>
    <xf numFmtId="0" fontId="39" fillId="6" borderId="8" xfId="0" applyFont="1" applyFill="1" applyBorder="1"/>
    <xf numFmtId="0" fontId="39" fillId="6" borderId="0" xfId="0" quotePrefix="1" applyFont="1" applyFill="1" applyAlignment="1">
      <alignment horizontal="left"/>
    </xf>
    <xf numFmtId="0" fontId="0" fillId="6" borderId="0" xfId="0" applyFill="1"/>
    <xf numFmtId="0" fontId="0" fillId="6" borderId="9" xfId="0" applyFill="1" applyBorder="1"/>
    <xf numFmtId="0" fontId="0" fillId="6" borderId="11" xfId="0" applyFill="1" applyBorder="1"/>
    <xf numFmtId="0" fontId="0" fillId="6" borderId="12" xfId="0" applyFill="1" applyBorder="1"/>
    <xf numFmtId="0" fontId="3" fillId="0" borderId="9" xfId="0" applyFont="1" applyBorder="1"/>
    <xf numFmtId="0" fontId="0" fillId="2" borderId="0" xfId="0" applyFill="1" applyAlignment="1">
      <alignment horizontal="center"/>
    </xf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2" borderId="47" xfId="0" applyFill="1" applyBorder="1"/>
    <xf numFmtId="0" fontId="0" fillId="2" borderId="49" xfId="0" applyFill="1" applyBorder="1" applyAlignment="1">
      <alignment horizontal="right"/>
    </xf>
    <xf numFmtId="0" fontId="0" fillId="2" borderId="50" xfId="0" applyFill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1" fillId="0" borderId="0" xfId="0" quotePrefix="1" applyFont="1" applyAlignment="1">
      <alignment horizontal="right"/>
    </xf>
    <xf numFmtId="0" fontId="21" fillId="0" borderId="0" xfId="0" quotePrefix="1" applyFont="1" applyAlignment="1">
      <alignment horizontal="center"/>
    </xf>
    <xf numFmtId="0" fontId="0" fillId="0" borderId="47" xfId="0" quotePrefix="1" applyBorder="1" applyAlignment="1">
      <alignment horizontal="left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0" xfId="0" applyBorder="1" applyAlignment="1">
      <alignment horizontal="left"/>
    </xf>
    <xf numFmtId="2" fontId="0" fillId="0" borderId="50" xfId="0" applyNumberForma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33" xfId="0" quotePrefix="1" applyBorder="1" applyAlignment="1">
      <alignment horizontal="left"/>
    </xf>
    <xf numFmtId="2" fontId="0" fillId="0" borderId="33" xfId="0" applyNumberForma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43" fillId="0" borderId="0" xfId="0" applyFont="1"/>
    <xf numFmtId="2" fontId="44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0" fontId="43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1" fillId="0" borderId="8" xfId="0" quotePrefix="1" applyFont="1" applyBorder="1" applyAlignment="1">
      <alignment horizontal="left"/>
    </xf>
    <xf numFmtId="0" fontId="1" fillId="0" borderId="8" xfId="0" applyFont="1" applyBorder="1"/>
    <xf numFmtId="165" fontId="0" fillId="0" borderId="0" xfId="0" quotePrefix="1" applyNumberFormat="1" applyAlignment="1">
      <alignment horizontal="right"/>
    </xf>
    <xf numFmtId="2" fontId="0" fillId="0" borderId="53" xfId="0" applyNumberFormat="1" applyBorder="1"/>
    <xf numFmtId="0" fontId="0" fillId="0" borderId="54" xfId="0" applyBorder="1"/>
    <xf numFmtId="0" fontId="0" fillId="0" borderId="48" xfId="0" quotePrefix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3" fillId="0" borderId="51" xfId="0" applyFont="1" applyBorder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2" borderId="50" xfId="0" applyNumberFormat="1" applyFill="1" applyBorder="1" applyAlignment="1">
      <alignment horizontal="center"/>
    </xf>
    <xf numFmtId="2" fontId="0" fillId="0" borderId="47" xfId="0" applyNumberFormat="1" applyBorder="1"/>
    <xf numFmtId="2" fontId="0" fillId="0" borderId="32" xfId="0" applyNumberFormat="1" applyBorder="1"/>
    <xf numFmtId="0" fontId="21" fillId="0" borderId="33" xfId="0" quotePrefix="1" applyFont="1" applyBorder="1" applyAlignment="1">
      <alignment horizontal="right"/>
    </xf>
    <xf numFmtId="0" fontId="14" fillId="0" borderId="0" xfId="0" applyFont="1"/>
    <xf numFmtId="0" fontId="1" fillId="0" borderId="50" xfId="0" applyFont="1" applyBorder="1"/>
    <xf numFmtId="0" fontId="1" fillId="0" borderId="50" xfId="0" applyFont="1" applyBorder="1" applyAlignment="1">
      <alignment horizontal="center"/>
    </xf>
    <xf numFmtId="0" fontId="1" fillId="0" borderId="50" xfId="0" applyFont="1" applyBorder="1" applyAlignment="1">
      <alignment horizontal="right"/>
    </xf>
    <xf numFmtId="2" fontId="0" fillId="0" borderId="5" xfId="0" applyNumberFormat="1" applyBorder="1"/>
    <xf numFmtId="0" fontId="0" fillId="0" borderId="6" xfId="0" quotePrefix="1" applyBorder="1" applyAlignment="1">
      <alignment horizontal="right"/>
    </xf>
    <xf numFmtId="0" fontId="0" fillId="0" borderId="6" xfId="0" quotePrefix="1" applyBorder="1" applyAlignment="1">
      <alignment horizontal="left"/>
    </xf>
    <xf numFmtId="0" fontId="0" fillId="0" borderId="11" xfId="0" quotePrefix="1" applyBorder="1" applyAlignment="1">
      <alignment horizontal="right"/>
    </xf>
    <xf numFmtId="0" fontId="0" fillId="0" borderId="11" xfId="0" quotePrefix="1" applyBorder="1" applyAlignment="1">
      <alignment horizontal="left"/>
    </xf>
    <xf numFmtId="0" fontId="21" fillId="0" borderId="11" xfId="0" quotePrefix="1" applyFont="1" applyBorder="1" applyAlignment="1">
      <alignment horizontal="left"/>
    </xf>
    <xf numFmtId="0" fontId="12" fillId="0" borderId="0" xfId="0" quotePrefix="1" applyFont="1" applyAlignment="1">
      <alignment horizontal="right"/>
    </xf>
    <xf numFmtId="2" fontId="12" fillId="0" borderId="0" xfId="0" applyNumberFormat="1" applyFont="1"/>
    <xf numFmtId="0" fontId="20" fillId="0" borderId="0" xfId="0" applyFont="1"/>
    <xf numFmtId="2" fontId="46" fillId="0" borderId="0" xfId="0" applyNumberFormat="1" applyFont="1"/>
    <xf numFmtId="0" fontId="46" fillId="0" borderId="0" xfId="0" applyFont="1"/>
    <xf numFmtId="0" fontId="12" fillId="0" borderId="8" xfId="0" applyFont="1" applyBorder="1"/>
    <xf numFmtId="0" fontId="0" fillId="0" borderId="52" xfId="0" applyBorder="1"/>
    <xf numFmtId="2" fontId="0" fillId="0" borderId="52" xfId="0" applyNumberFormat="1" applyBorder="1"/>
    <xf numFmtId="0" fontId="2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27" fillId="0" borderId="0" xfId="0" applyFont="1"/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16" fillId="0" borderId="5" xfId="0" quotePrefix="1" applyFont="1" applyBorder="1" applyAlignment="1">
      <alignment horizontal="left"/>
    </xf>
    <xf numFmtId="0" fontId="4" fillId="0" borderId="6" xfId="0" quotePrefix="1" applyFont="1" applyBorder="1" applyAlignment="1">
      <alignment horizontal="center"/>
    </xf>
    <xf numFmtId="0" fontId="16" fillId="0" borderId="8" xfId="0" applyFont="1" applyBorder="1"/>
    <xf numFmtId="0" fontId="0" fillId="0" borderId="9" xfId="0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47" fillId="0" borderId="0" xfId="0" applyFont="1"/>
    <xf numFmtId="0" fontId="26" fillId="0" borderId="0" xfId="0" applyFont="1" applyAlignment="1">
      <alignment horizontal="center"/>
    </xf>
    <xf numFmtId="0" fontId="26" fillId="0" borderId="0" xfId="0" quotePrefix="1" applyFont="1" applyAlignment="1">
      <alignment horizontal="center"/>
    </xf>
    <xf numFmtId="0" fontId="24" fillId="0" borderId="9" xfId="0" applyFont="1" applyBorder="1" applyAlignment="1">
      <alignment horizontal="center"/>
    </xf>
    <xf numFmtId="0" fontId="0" fillId="0" borderId="55" xfId="0" applyBorder="1"/>
    <xf numFmtId="0" fontId="2" fillId="0" borderId="37" xfId="0" applyFont="1" applyBorder="1" applyAlignment="1">
      <alignment horizontal="center"/>
    </xf>
    <xf numFmtId="0" fontId="48" fillId="0" borderId="56" xfId="0" applyFont="1" applyBorder="1"/>
    <xf numFmtId="0" fontId="3" fillId="0" borderId="24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0" fontId="4" fillId="0" borderId="58" xfId="0" quotePrefix="1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2" fontId="49" fillId="0" borderId="57" xfId="0" applyNumberFormat="1" applyFont="1" applyBorder="1" applyAlignment="1">
      <alignment horizontal="center"/>
    </xf>
    <xf numFmtId="0" fontId="50" fillId="0" borderId="61" xfId="0" quotePrefix="1" applyFont="1" applyBorder="1" applyAlignment="1">
      <alignment horizontal="center"/>
    </xf>
    <xf numFmtId="0" fontId="51" fillId="0" borderId="62" xfId="0" applyFont="1" applyBorder="1" applyAlignment="1">
      <alignment horizontal="center"/>
    </xf>
    <xf numFmtId="2" fontId="46" fillId="0" borderId="60" xfId="0" applyNumberFormat="1" applyFont="1" applyBorder="1" applyAlignment="1">
      <alignment horizontal="center"/>
    </xf>
    <xf numFmtId="0" fontId="23" fillId="0" borderId="9" xfId="0" quotePrefix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2" fillId="0" borderId="0" xfId="0" quotePrefix="1" applyFont="1" applyAlignment="1">
      <alignment horizontal="left"/>
    </xf>
    <xf numFmtId="0" fontId="0" fillId="0" borderId="5" xfId="0" quotePrefix="1" applyBorder="1" applyAlignment="1">
      <alignment horizontal="left"/>
    </xf>
    <xf numFmtId="0" fontId="45" fillId="0" borderId="7" xfId="0" applyFont="1" applyBorder="1" applyAlignment="1">
      <alignment horizontal="center"/>
    </xf>
    <xf numFmtId="0" fontId="21" fillId="0" borderId="8" xfId="0" applyFont="1" applyBorder="1"/>
    <xf numFmtId="0" fontId="45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45" fillId="0" borderId="0" xfId="0" applyNumberFormat="1" applyFont="1" applyAlignment="1">
      <alignment horizontal="center"/>
    </xf>
    <xf numFmtId="2" fontId="45" fillId="0" borderId="9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45" fillId="0" borderId="1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quotePrefix="1" applyNumberFormat="1" applyAlignment="1">
      <alignment horizontal="right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4" xfId="0" quotePrefix="1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1" fontId="0" fillId="0" borderId="64" xfId="0" applyNumberFormat="1" applyBorder="1" applyAlignment="1">
      <alignment horizontal="center"/>
    </xf>
    <xf numFmtId="0" fontId="3" fillId="0" borderId="64" xfId="0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3" fillId="2" borderId="64" xfId="0" applyFont="1" applyFill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3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CFCFC"/>
      <color rgb="FFF9F9F9"/>
      <color rgb="FFC04D49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chemeClr val="tx1">
                    <a:lumMod val="50000"/>
                    <a:lumOff val="50000"/>
                  </a:schemeClr>
                </a:solidFill>
              </a:rPr>
              <a:t>Equal</a:t>
            </a:r>
            <a:r>
              <a:rPr lang="en-US" sz="1000" b="1" baseline="0">
                <a:solidFill>
                  <a:schemeClr val="tx1">
                    <a:lumMod val="50000"/>
                    <a:lumOff val="50000"/>
                  </a:schemeClr>
                </a:solidFill>
              </a:rPr>
              <a:t> spring force</a:t>
            </a:r>
            <a:endParaRPr lang="en-US" sz="1000" b="1">
              <a:solidFill>
                <a:schemeClr val="tx1">
                  <a:lumMod val="50000"/>
                  <a:lumOff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25964173228346454"/>
          <c:y val="3.14734365100914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08486439195099"/>
          <c:y val="0.17303602135939905"/>
          <c:w val="0.71479002624671917"/>
          <c:h val="0.67955244818535609"/>
        </c:manualLayout>
      </c:layout>
      <c:scatterChart>
        <c:scatterStyle val="lineMarker"/>
        <c:varyColors val="0"/>
        <c:ser>
          <c:idx val="0"/>
          <c:order val="0"/>
          <c:tx>
            <c:strRef>
              <c:f>eql_tr_charts_new!$E$8</c:f>
              <c:strCache>
                <c:ptCount val="1"/>
                <c:pt idx="0">
                  <c:v>Fork</c:v>
                </c:pt>
              </c:strCache>
            </c:strRef>
          </c:tx>
          <c:spPr>
            <a:ln w="1270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eql_tr_charts_new!$C$9:$C$18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110</c:v>
                </c:pt>
                <c:pt idx="6">
                  <c:v>130</c:v>
                </c:pt>
                <c:pt idx="7">
                  <c:v>150</c:v>
                </c:pt>
                <c:pt idx="8">
                  <c:v>170</c:v>
                </c:pt>
                <c:pt idx="9">
                  <c:v>190</c:v>
                </c:pt>
              </c:numCache>
            </c:numRef>
          </c:xVal>
          <c:yVal>
            <c:numRef>
              <c:f>eql_tr_charts_new!$E$9:$E$18</c:f>
              <c:numCache>
                <c:formatCode>General</c:formatCode>
                <c:ptCount val="10"/>
                <c:pt idx="0">
                  <c:v>215</c:v>
                </c:pt>
                <c:pt idx="1">
                  <c:v>281</c:v>
                </c:pt>
                <c:pt idx="2">
                  <c:v>349</c:v>
                </c:pt>
                <c:pt idx="3">
                  <c:v>420</c:v>
                </c:pt>
                <c:pt idx="4">
                  <c:v>493</c:v>
                </c:pt>
                <c:pt idx="5">
                  <c:v>570</c:v>
                </c:pt>
                <c:pt idx="6">
                  <c:v>653</c:v>
                </c:pt>
                <c:pt idx="7">
                  <c:v>743</c:v>
                </c:pt>
                <c:pt idx="8">
                  <c:v>844</c:v>
                </c:pt>
                <c:pt idx="9">
                  <c:v>964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40-42C9-8DB1-85DB1FCA5CC8}"/>
            </c:ext>
          </c:extLst>
        </c:ser>
        <c:ser>
          <c:idx val="1"/>
          <c:order val="1"/>
          <c:tx>
            <c:strRef>
              <c:f>eql_tr_charts_new!$F$8</c:f>
              <c:strCache>
                <c:ptCount val="1"/>
                <c:pt idx="0">
                  <c:v>Shock</c:v>
                </c:pt>
              </c:strCache>
            </c:strRef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eql_tr_charts_new!$C$9:$C$18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110</c:v>
                </c:pt>
                <c:pt idx="6">
                  <c:v>130</c:v>
                </c:pt>
                <c:pt idx="7">
                  <c:v>150</c:v>
                </c:pt>
                <c:pt idx="8">
                  <c:v>170</c:v>
                </c:pt>
                <c:pt idx="9">
                  <c:v>190</c:v>
                </c:pt>
              </c:numCache>
            </c:numRef>
          </c:xVal>
          <c:yVal>
            <c:numRef>
              <c:f>eql_tr_charts_new!$F$9:$F$18</c:f>
              <c:numCache>
                <c:formatCode>General</c:formatCode>
                <c:ptCount val="10"/>
                <c:pt idx="0">
                  <c:v>255</c:v>
                </c:pt>
                <c:pt idx="1">
                  <c:v>304</c:v>
                </c:pt>
                <c:pt idx="2">
                  <c:v>358</c:v>
                </c:pt>
                <c:pt idx="3">
                  <c:v>419</c:v>
                </c:pt>
                <c:pt idx="4">
                  <c:v>489</c:v>
                </c:pt>
                <c:pt idx="5">
                  <c:v>569</c:v>
                </c:pt>
                <c:pt idx="6">
                  <c:v>665</c:v>
                </c:pt>
                <c:pt idx="7">
                  <c:v>785</c:v>
                </c:pt>
                <c:pt idx="8">
                  <c:v>942</c:v>
                </c:pt>
                <c:pt idx="9">
                  <c:v>1167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40-42C9-8DB1-85DB1FCA5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799984"/>
        <c:axId val="1053800400"/>
      </c:scatterChart>
      <c:valAx>
        <c:axId val="1053799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Stroke from race-sag [mm]</a:t>
                </a:r>
              </a:p>
            </c:rich>
          </c:tx>
          <c:layout>
            <c:manualLayout>
              <c:xMode val="edge"/>
              <c:yMode val="edge"/>
              <c:x val="0.2322419072615923"/>
              <c:y val="0.93196820225058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800400"/>
        <c:crosses val="autoZero"/>
        <c:crossBetween val="midCat"/>
      </c:valAx>
      <c:valAx>
        <c:axId val="1053800400"/>
        <c:scaling>
          <c:orientation val="minMax"/>
          <c:max val="12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Tahoma" panose="020B0604030504040204" pitchFamily="34" charset="0"/>
                    <a:cs typeface="Calibri" panose="020F0502020204030204" pitchFamily="34" charset="0"/>
                  </a:defRPr>
                </a:pPr>
                <a:r>
                  <a:rPr lang="en-US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Tahoma" panose="020B0604030504040204" pitchFamily="34" charset="0"/>
                    <a:cs typeface="Calibri" panose="020F0502020204030204" pitchFamily="34" charset="0"/>
                  </a:rPr>
                  <a:t>Spring</a:t>
                </a:r>
                <a:r>
                  <a:rPr lang="en-US" sz="8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Tahoma" panose="020B0604030504040204" pitchFamily="34" charset="0"/>
                    <a:cs typeface="Calibri" panose="020F0502020204030204" pitchFamily="34" charset="0"/>
                  </a:rPr>
                  <a:t>  fprce [lbf]</a:t>
                </a:r>
                <a:endParaRPr lang="en-US" sz="800" b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Tahoma" panose="020B0604030504040204" pitchFamily="34" charset="0"/>
                  <a:cs typeface="Calibri" panose="020F0502020204030204" pitchFamily="34" charset="0"/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344272483180981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Tahoma" panose="020B060403050404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79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686307961504813"/>
          <c:y val="7.7800495932483574E-2"/>
          <c:w val="0.52578208973878271"/>
          <c:h val="4.3556687766970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rgbClr val="545454"/>
                </a:solidFill>
                <a:latin typeface="+mn-lt"/>
                <a:ea typeface="+mn-ea"/>
                <a:cs typeface="+mn-cs"/>
              </a:defRPr>
            </a:pPr>
            <a:r>
              <a:rPr lang="en-US" sz="1050" b="1">
                <a:solidFill>
                  <a:srgbClr val="545454"/>
                </a:solidFill>
              </a:rPr>
              <a:t>Equal</a:t>
            </a:r>
            <a:r>
              <a:rPr lang="en-US" sz="1050" b="1" baseline="0">
                <a:solidFill>
                  <a:srgbClr val="545454"/>
                </a:solidFill>
              </a:rPr>
              <a:t> spring force</a:t>
            </a:r>
            <a:endParaRPr lang="en-US" sz="1050" b="1">
              <a:solidFill>
                <a:srgbClr val="545454"/>
              </a:solidFill>
            </a:endParaRPr>
          </a:p>
        </c:rich>
      </c:tx>
      <c:layout>
        <c:manualLayout>
          <c:xMode val="edge"/>
          <c:yMode val="edge"/>
          <c:x val="0.25964173228346454"/>
          <c:y val="3.14734365100914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rgbClr val="545454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08486439195099"/>
          <c:y val="0.17303602135939905"/>
          <c:w val="0.71479002624671917"/>
          <c:h val="0.67955244818535609"/>
        </c:manualLayout>
      </c:layout>
      <c:scatterChart>
        <c:scatterStyle val="lineMarker"/>
        <c:varyColors val="0"/>
        <c:ser>
          <c:idx val="0"/>
          <c:order val="0"/>
          <c:tx>
            <c:strRef>
              <c:f>eql_tr_charts_new!$P$8</c:f>
              <c:strCache>
                <c:ptCount val="1"/>
                <c:pt idx="0">
                  <c:v>Fork</c:v>
                </c:pt>
              </c:strCache>
            </c:strRef>
          </c:tx>
          <c:spPr>
            <a:ln w="1270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eql_tr_charts_new!$C$9:$C$18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110</c:v>
                </c:pt>
                <c:pt idx="6">
                  <c:v>130</c:v>
                </c:pt>
                <c:pt idx="7">
                  <c:v>150</c:v>
                </c:pt>
                <c:pt idx="8">
                  <c:v>170</c:v>
                </c:pt>
                <c:pt idx="9">
                  <c:v>190</c:v>
                </c:pt>
              </c:numCache>
            </c:numRef>
          </c:xVal>
          <c:yVal>
            <c:numRef>
              <c:f>eql_tr_charts_new!$P$9:$P$19</c:f>
              <c:numCache>
                <c:formatCode>General</c:formatCode>
                <c:ptCount val="11"/>
                <c:pt idx="0">
                  <c:v>201</c:v>
                </c:pt>
                <c:pt idx="1">
                  <c:v>265</c:v>
                </c:pt>
                <c:pt idx="2">
                  <c:v>332</c:v>
                </c:pt>
                <c:pt idx="3">
                  <c:v>404</c:v>
                </c:pt>
                <c:pt idx="4">
                  <c:v>481</c:v>
                </c:pt>
                <c:pt idx="5">
                  <c:v>567</c:v>
                </c:pt>
                <c:pt idx="6">
                  <c:v>666</c:v>
                </c:pt>
                <c:pt idx="7">
                  <c:v>787</c:v>
                </c:pt>
                <c:pt idx="8">
                  <c:v>947</c:v>
                </c:pt>
                <c:pt idx="9">
                  <c:v>1188</c:v>
                </c:pt>
                <c:pt idx="10">
                  <c:v>1638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4B-492A-8ED5-5520513A82E8}"/>
            </c:ext>
          </c:extLst>
        </c:ser>
        <c:ser>
          <c:idx val="1"/>
          <c:order val="1"/>
          <c:tx>
            <c:strRef>
              <c:f>eql_tr_charts_new!$Q$8</c:f>
              <c:strCache>
                <c:ptCount val="1"/>
                <c:pt idx="0">
                  <c:v>Shock</c:v>
                </c:pt>
              </c:strCache>
            </c:strRef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eql_tr_charts_new!$C$9:$C$18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110</c:v>
                </c:pt>
                <c:pt idx="6">
                  <c:v>130</c:v>
                </c:pt>
                <c:pt idx="7">
                  <c:v>150</c:v>
                </c:pt>
                <c:pt idx="8">
                  <c:v>170</c:v>
                </c:pt>
                <c:pt idx="9">
                  <c:v>190</c:v>
                </c:pt>
              </c:numCache>
            </c:numRef>
          </c:xVal>
          <c:yVal>
            <c:numRef>
              <c:f>eql_tr_charts_new!$Q$9:$Q$19</c:f>
              <c:numCache>
                <c:formatCode>General</c:formatCode>
                <c:ptCount val="11"/>
                <c:pt idx="0">
                  <c:v>210</c:v>
                </c:pt>
                <c:pt idx="1">
                  <c:v>248</c:v>
                </c:pt>
                <c:pt idx="2">
                  <c:v>289</c:v>
                </c:pt>
                <c:pt idx="3">
                  <c:v>335</c:v>
                </c:pt>
                <c:pt idx="4">
                  <c:v>388</c:v>
                </c:pt>
                <c:pt idx="5">
                  <c:v>448</c:v>
                </c:pt>
                <c:pt idx="6">
                  <c:v>519</c:v>
                </c:pt>
                <c:pt idx="7">
                  <c:v>606</c:v>
                </c:pt>
                <c:pt idx="8">
                  <c:v>718</c:v>
                </c:pt>
                <c:pt idx="9">
                  <c:v>876</c:v>
                </c:pt>
                <c:pt idx="10">
                  <c:v>1074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4B-492A-8ED5-5520513A8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799984"/>
        <c:axId val="1053800400"/>
      </c:scatterChart>
      <c:valAx>
        <c:axId val="1053799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Stroke from race-sag [mm]</a:t>
                </a:r>
              </a:p>
            </c:rich>
          </c:tx>
          <c:layout>
            <c:manualLayout>
              <c:xMode val="edge"/>
              <c:yMode val="edge"/>
              <c:x val="0.2322419072615923"/>
              <c:y val="0.93196820225058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800400"/>
        <c:crosses val="autoZero"/>
        <c:crossBetween val="midCat"/>
      </c:valAx>
      <c:valAx>
        <c:axId val="1053800400"/>
        <c:scaling>
          <c:orientation val="minMax"/>
          <c:max val="12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Spring</a:t>
                </a:r>
                <a:r>
                  <a:rPr lang="en-US" sz="8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  fprce [lbf]</a:t>
                </a:r>
                <a:endParaRPr lang="en-US" sz="800" b="0">
                  <a:solidFill>
                    <a:schemeClr val="tx1">
                      <a:lumMod val="65000"/>
                      <a:lumOff val="3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344272483180981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79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352974628171479"/>
          <c:y val="7.7800404259812342E-2"/>
          <c:w val="0.52578208973878271"/>
          <c:h val="4.3556687766970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rgbClr val="545454"/>
                </a:solidFill>
                <a:latin typeface="+mn-lt"/>
                <a:ea typeface="+mn-ea"/>
                <a:cs typeface="+mn-cs"/>
              </a:defRPr>
            </a:pPr>
            <a:r>
              <a:rPr lang="en-US" sz="1050" b="1">
                <a:solidFill>
                  <a:srgbClr val="545454"/>
                </a:solidFill>
              </a:rPr>
              <a:t>Equal</a:t>
            </a:r>
            <a:r>
              <a:rPr lang="en-US" sz="1050" b="1" baseline="0">
                <a:solidFill>
                  <a:srgbClr val="545454"/>
                </a:solidFill>
              </a:rPr>
              <a:t> spring force</a:t>
            </a:r>
            <a:endParaRPr lang="en-US" sz="1050" b="1">
              <a:solidFill>
                <a:srgbClr val="545454"/>
              </a:solidFill>
            </a:endParaRPr>
          </a:p>
        </c:rich>
      </c:tx>
      <c:layout>
        <c:manualLayout>
          <c:xMode val="edge"/>
          <c:yMode val="edge"/>
          <c:x val="0.25964173228346454"/>
          <c:y val="3.14734365100914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rgbClr val="545454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08486439195099"/>
          <c:y val="0.17303602135939905"/>
          <c:w val="0.71479002624671917"/>
          <c:h val="0.67955244818535609"/>
        </c:manualLayout>
      </c:layout>
      <c:scatterChart>
        <c:scatterStyle val="lineMarker"/>
        <c:varyColors val="0"/>
        <c:ser>
          <c:idx val="0"/>
          <c:order val="0"/>
          <c:tx>
            <c:strRef>
              <c:f>eql_tr_charts_new!$E$28</c:f>
              <c:strCache>
                <c:ptCount val="1"/>
                <c:pt idx="0">
                  <c:v>Fork</c:v>
                </c:pt>
              </c:strCache>
            </c:strRef>
          </c:tx>
          <c:spPr>
            <a:ln w="1270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eql_tr_charts_new!$C$9:$C$18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110</c:v>
                </c:pt>
                <c:pt idx="6">
                  <c:v>130</c:v>
                </c:pt>
                <c:pt idx="7">
                  <c:v>150</c:v>
                </c:pt>
                <c:pt idx="8">
                  <c:v>170</c:v>
                </c:pt>
                <c:pt idx="9">
                  <c:v>190</c:v>
                </c:pt>
              </c:numCache>
            </c:numRef>
          </c:xVal>
          <c:yVal>
            <c:numRef>
              <c:f>eql_tr_charts_new!$E$29:$E$38</c:f>
              <c:numCache>
                <c:formatCode>General</c:formatCode>
                <c:ptCount val="10"/>
                <c:pt idx="0">
                  <c:v>209</c:v>
                </c:pt>
                <c:pt idx="1">
                  <c:v>275</c:v>
                </c:pt>
                <c:pt idx="2">
                  <c:v>344</c:v>
                </c:pt>
                <c:pt idx="3">
                  <c:v>416</c:v>
                </c:pt>
                <c:pt idx="4">
                  <c:v>492</c:v>
                </c:pt>
                <c:pt idx="5">
                  <c:v>575</c:v>
                </c:pt>
                <c:pt idx="6">
                  <c:v>666</c:v>
                </c:pt>
                <c:pt idx="7">
                  <c:v>772</c:v>
                </c:pt>
                <c:pt idx="8">
                  <c:v>900</c:v>
                </c:pt>
                <c:pt idx="9">
                  <c:v>1069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F7-4E26-94FE-EBEC47BC2363}"/>
            </c:ext>
          </c:extLst>
        </c:ser>
        <c:ser>
          <c:idx val="1"/>
          <c:order val="1"/>
          <c:tx>
            <c:strRef>
              <c:f>eql_tr_charts_new!$F$28</c:f>
              <c:strCache>
                <c:ptCount val="1"/>
                <c:pt idx="0">
                  <c:v>Shock</c:v>
                </c:pt>
              </c:strCache>
            </c:strRef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eql_tr_charts_new!$C$9:$C$18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110</c:v>
                </c:pt>
                <c:pt idx="6">
                  <c:v>130</c:v>
                </c:pt>
                <c:pt idx="7">
                  <c:v>150</c:v>
                </c:pt>
                <c:pt idx="8">
                  <c:v>170</c:v>
                </c:pt>
                <c:pt idx="9">
                  <c:v>190</c:v>
                </c:pt>
              </c:numCache>
            </c:numRef>
          </c:xVal>
          <c:yVal>
            <c:numRef>
              <c:f>eql_tr_charts_new!$F$29:$F$38</c:f>
              <c:numCache>
                <c:formatCode>General</c:formatCode>
                <c:ptCount val="10"/>
                <c:pt idx="0">
                  <c:v>217</c:v>
                </c:pt>
                <c:pt idx="1">
                  <c:v>258</c:v>
                </c:pt>
                <c:pt idx="2">
                  <c:v>303</c:v>
                </c:pt>
                <c:pt idx="3">
                  <c:v>354</c:v>
                </c:pt>
                <c:pt idx="4">
                  <c:v>412</c:v>
                </c:pt>
                <c:pt idx="5">
                  <c:v>479</c:v>
                </c:pt>
                <c:pt idx="6">
                  <c:v>559</c:v>
                </c:pt>
                <c:pt idx="7">
                  <c:v>658</c:v>
                </c:pt>
                <c:pt idx="8">
                  <c:v>789</c:v>
                </c:pt>
                <c:pt idx="9">
                  <c:v>976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F7-4E26-94FE-EBEC47BC2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799984"/>
        <c:axId val="1053800400"/>
      </c:scatterChart>
      <c:valAx>
        <c:axId val="1053799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Stroke from race-sag [mm]</a:t>
                </a:r>
              </a:p>
            </c:rich>
          </c:tx>
          <c:layout>
            <c:manualLayout>
              <c:xMode val="edge"/>
              <c:yMode val="edge"/>
              <c:x val="0.2322419072615923"/>
              <c:y val="0.93196820225058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800400"/>
        <c:crosses val="autoZero"/>
        <c:crossBetween val="midCat"/>
      </c:valAx>
      <c:valAx>
        <c:axId val="105380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Spring</a:t>
                </a:r>
                <a:r>
                  <a:rPr lang="en-US" sz="8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  fprce [lbf]</a:t>
                </a:r>
                <a:endParaRPr lang="en-US" sz="800" b="0">
                  <a:solidFill>
                    <a:schemeClr val="tx1">
                      <a:lumMod val="65000"/>
                      <a:lumOff val="3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344272483180981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79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352974628171479"/>
          <c:y val="7.7800404259812342E-2"/>
          <c:w val="0.52578208973878271"/>
          <c:h val="4.3556687766970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rgbClr val="545454"/>
                </a:solidFill>
                <a:latin typeface="+mn-lt"/>
                <a:ea typeface="+mn-ea"/>
                <a:cs typeface="+mn-cs"/>
              </a:defRPr>
            </a:pPr>
            <a:r>
              <a:rPr lang="en-US" sz="1050" b="1">
                <a:solidFill>
                  <a:srgbClr val="545454"/>
                </a:solidFill>
              </a:rPr>
              <a:t>Equal</a:t>
            </a:r>
            <a:r>
              <a:rPr lang="en-US" sz="1050" b="1" baseline="0">
                <a:solidFill>
                  <a:srgbClr val="545454"/>
                </a:solidFill>
              </a:rPr>
              <a:t> spring force</a:t>
            </a:r>
            <a:endParaRPr lang="en-US" sz="1050" b="1">
              <a:solidFill>
                <a:srgbClr val="545454"/>
              </a:solidFill>
            </a:endParaRPr>
          </a:p>
        </c:rich>
      </c:tx>
      <c:layout>
        <c:manualLayout>
          <c:xMode val="edge"/>
          <c:yMode val="edge"/>
          <c:x val="0.25964173228346454"/>
          <c:y val="3.14734365100914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rgbClr val="545454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08486439195099"/>
          <c:y val="0.17303602135939905"/>
          <c:w val="0.71479002624671917"/>
          <c:h val="0.67955244818535609"/>
        </c:manualLayout>
      </c:layout>
      <c:scatterChart>
        <c:scatterStyle val="lineMarker"/>
        <c:varyColors val="0"/>
        <c:ser>
          <c:idx val="0"/>
          <c:order val="0"/>
          <c:tx>
            <c:strRef>
              <c:f>eql_tr_charts_new!$P$28</c:f>
              <c:strCache>
                <c:ptCount val="1"/>
                <c:pt idx="0">
                  <c:v>Fork</c:v>
                </c:pt>
              </c:strCache>
            </c:strRef>
          </c:tx>
          <c:spPr>
            <a:ln w="1270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eql_tr_charts_new!$C$9:$C$18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110</c:v>
                </c:pt>
                <c:pt idx="6">
                  <c:v>130</c:v>
                </c:pt>
                <c:pt idx="7">
                  <c:v>150</c:v>
                </c:pt>
                <c:pt idx="8">
                  <c:v>170</c:v>
                </c:pt>
                <c:pt idx="9">
                  <c:v>190</c:v>
                </c:pt>
              </c:numCache>
            </c:numRef>
          </c:xVal>
          <c:yVal>
            <c:numRef>
              <c:f>eql_tr_charts_new!$P$29:$P$38</c:f>
              <c:numCache>
                <c:formatCode>General</c:formatCode>
                <c:ptCount val="10"/>
                <c:pt idx="0">
                  <c:v>221</c:v>
                </c:pt>
                <c:pt idx="1">
                  <c:v>292</c:v>
                </c:pt>
                <c:pt idx="2">
                  <c:v>366</c:v>
                </c:pt>
                <c:pt idx="3">
                  <c:v>444</c:v>
                </c:pt>
                <c:pt idx="4">
                  <c:v>528</c:v>
                </c:pt>
                <c:pt idx="5">
                  <c:v>621</c:v>
                </c:pt>
                <c:pt idx="6">
                  <c:v>727</c:v>
                </c:pt>
                <c:pt idx="7">
                  <c:v>855</c:v>
                </c:pt>
                <c:pt idx="8">
                  <c:v>1024</c:v>
                </c:pt>
                <c:pt idx="9">
                  <c:v>1277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D8-46E5-A7EC-C76C6181E092}"/>
            </c:ext>
          </c:extLst>
        </c:ser>
        <c:ser>
          <c:idx val="1"/>
          <c:order val="1"/>
          <c:tx>
            <c:strRef>
              <c:f>eql_tr_charts_new!$Q$28</c:f>
              <c:strCache>
                <c:ptCount val="1"/>
                <c:pt idx="0">
                  <c:v>Shock</c:v>
                </c:pt>
              </c:strCache>
            </c:strRef>
          </c:tx>
          <c:spPr>
            <a:ln w="95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eql_tr_charts_new!$C$9:$C$18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110</c:v>
                </c:pt>
                <c:pt idx="6">
                  <c:v>130</c:v>
                </c:pt>
                <c:pt idx="7">
                  <c:v>150</c:v>
                </c:pt>
                <c:pt idx="8">
                  <c:v>170</c:v>
                </c:pt>
                <c:pt idx="9">
                  <c:v>190</c:v>
                </c:pt>
              </c:numCache>
            </c:numRef>
          </c:xVal>
          <c:yVal>
            <c:numRef>
              <c:f>eql_tr_charts_new!$Q$29:$Q$38</c:f>
              <c:numCache>
                <c:formatCode>General</c:formatCode>
                <c:ptCount val="10"/>
                <c:pt idx="0">
                  <c:v>215</c:v>
                </c:pt>
                <c:pt idx="1">
                  <c:v>255</c:v>
                </c:pt>
                <c:pt idx="2">
                  <c:v>300</c:v>
                </c:pt>
                <c:pt idx="3">
                  <c:v>350</c:v>
                </c:pt>
                <c:pt idx="4">
                  <c:v>407</c:v>
                </c:pt>
                <c:pt idx="5">
                  <c:v>474</c:v>
                </c:pt>
                <c:pt idx="6">
                  <c:v>553</c:v>
                </c:pt>
                <c:pt idx="7">
                  <c:v>651</c:v>
                </c:pt>
                <c:pt idx="8">
                  <c:v>780</c:v>
                </c:pt>
                <c:pt idx="9">
                  <c:v>966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D8-46E5-A7EC-C76C6181E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799984"/>
        <c:axId val="1053800400"/>
      </c:scatterChart>
      <c:valAx>
        <c:axId val="1053799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Stroke from race-sag [mm]</a:t>
                </a:r>
              </a:p>
            </c:rich>
          </c:tx>
          <c:layout>
            <c:manualLayout>
              <c:xMode val="edge"/>
              <c:yMode val="edge"/>
              <c:x val="0.2322419072615923"/>
              <c:y val="0.93196820225058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800400"/>
        <c:crosses val="autoZero"/>
        <c:crossBetween val="midCat"/>
      </c:valAx>
      <c:valAx>
        <c:axId val="105380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Spring</a:t>
                </a:r>
                <a:r>
                  <a:rPr lang="en-US" sz="8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  fprce [lbf]</a:t>
                </a:r>
                <a:endParaRPr lang="en-US" sz="800" b="0">
                  <a:solidFill>
                    <a:schemeClr val="tx1">
                      <a:lumMod val="65000"/>
                      <a:lumOff val="3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344272483180981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79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352974628171479"/>
          <c:y val="7.7800404259812342E-2"/>
          <c:w val="0.52578208973878271"/>
          <c:h val="4.3556687766970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chemeClr val="tx1">
                    <a:lumMod val="50000"/>
                    <a:lumOff val="50000"/>
                  </a:schemeClr>
                </a:solidFill>
              </a:rPr>
              <a:t>Equal</a:t>
            </a:r>
            <a:r>
              <a:rPr lang="en-US" sz="1000" b="1" baseline="0">
                <a:solidFill>
                  <a:schemeClr val="tx1">
                    <a:lumMod val="50000"/>
                    <a:lumOff val="50000"/>
                  </a:schemeClr>
                </a:solidFill>
              </a:rPr>
              <a:t> spring force</a:t>
            </a:r>
            <a:endParaRPr lang="en-US" sz="1000" b="1">
              <a:solidFill>
                <a:schemeClr val="tx1">
                  <a:lumMod val="50000"/>
                  <a:lumOff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25964173228346454"/>
          <c:y val="3.14734365100914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08486439195099"/>
          <c:y val="0.17303602135939905"/>
          <c:w val="0.71479002624671917"/>
          <c:h val="0.67955244818535609"/>
        </c:manualLayout>
      </c:layout>
      <c:scatterChart>
        <c:scatterStyle val="lineMarker"/>
        <c:varyColors val="0"/>
        <c:ser>
          <c:idx val="0"/>
          <c:order val="0"/>
          <c:tx>
            <c:strRef>
              <c:f>eql_tr_charts_old!$E$8</c:f>
              <c:strCache>
                <c:ptCount val="1"/>
                <c:pt idx="0">
                  <c:v>Fork</c:v>
                </c:pt>
              </c:strCache>
            </c:strRef>
          </c:tx>
          <c:spPr>
            <a:ln w="1270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eql_tr_charts_old!$C$9:$C$18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110</c:v>
                </c:pt>
                <c:pt idx="6">
                  <c:v>130</c:v>
                </c:pt>
                <c:pt idx="7">
                  <c:v>150</c:v>
                </c:pt>
                <c:pt idx="8">
                  <c:v>170</c:v>
                </c:pt>
                <c:pt idx="9">
                  <c:v>190</c:v>
                </c:pt>
              </c:numCache>
            </c:numRef>
          </c:xVal>
          <c:yVal>
            <c:numRef>
              <c:f>eql_tr_charts_old!$E$9:$E$18</c:f>
              <c:numCache>
                <c:formatCode>General</c:formatCode>
                <c:ptCount val="10"/>
                <c:pt idx="0">
                  <c:v>210</c:v>
                </c:pt>
                <c:pt idx="1">
                  <c:v>275</c:v>
                </c:pt>
                <c:pt idx="2">
                  <c:v>342</c:v>
                </c:pt>
                <c:pt idx="3">
                  <c:v>410</c:v>
                </c:pt>
                <c:pt idx="4">
                  <c:v>480</c:v>
                </c:pt>
                <c:pt idx="5">
                  <c:v>552</c:v>
                </c:pt>
                <c:pt idx="6">
                  <c:v>628</c:v>
                </c:pt>
                <c:pt idx="7">
                  <c:v>709</c:v>
                </c:pt>
                <c:pt idx="8">
                  <c:v>796</c:v>
                </c:pt>
                <c:pt idx="9">
                  <c:v>891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0A-4B72-84D2-915F3FBC5F08}"/>
            </c:ext>
          </c:extLst>
        </c:ser>
        <c:ser>
          <c:idx val="1"/>
          <c:order val="1"/>
          <c:tx>
            <c:strRef>
              <c:f>eql_tr_charts_old!$F$8</c:f>
              <c:strCache>
                <c:ptCount val="1"/>
                <c:pt idx="0">
                  <c:v>Shock</c:v>
                </c:pt>
              </c:strCache>
            </c:strRef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eql_tr_charts_old!$C$9:$C$18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110</c:v>
                </c:pt>
                <c:pt idx="6">
                  <c:v>130</c:v>
                </c:pt>
                <c:pt idx="7">
                  <c:v>150</c:v>
                </c:pt>
                <c:pt idx="8">
                  <c:v>170</c:v>
                </c:pt>
                <c:pt idx="9">
                  <c:v>190</c:v>
                </c:pt>
              </c:numCache>
            </c:numRef>
          </c:xVal>
          <c:yVal>
            <c:numRef>
              <c:f>eql_tr_charts_old!$F$9:$F$18</c:f>
              <c:numCache>
                <c:formatCode>General</c:formatCode>
                <c:ptCount val="10"/>
                <c:pt idx="0">
                  <c:v>255</c:v>
                </c:pt>
                <c:pt idx="1">
                  <c:v>304</c:v>
                </c:pt>
                <c:pt idx="2">
                  <c:v>358</c:v>
                </c:pt>
                <c:pt idx="3">
                  <c:v>419</c:v>
                </c:pt>
                <c:pt idx="4">
                  <c:v>489</c:v>
                </c:pt>
                <c:pt idx="5">
                  <c:v>569</c:v>
                </c:pt>
                <c:pt idx="6">
                  <c:v>665</c:v>
                </c:pt>
                <c:pt idx="7">
                  <c:v>785</c:v>
                </c:pt>
                <c:pt idx="8">
                  <c:v>942</c:v>
                </c:pt>
                <c:pt idx="9">
                  <c:v>1167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0A-4B72-84D2-915F3FBC5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799984"/>
        <c:axId val="1053800400"/>
      </c:scatterChart>
      <c:valAx>
        <c:axId val="1053799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Stroke from race-sag [mm]</a:t>
                </a:r>
              </a:p>
            </c:rich>
          </c:tx>
          <c:layout>
            <c:manualLayout>
              <c:xMode val="edge"/>
              <c:yMode val="edge"/>
              <c:x val="0.2322419072615923"/>
              <c:y val="0.93196820225058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800400"/>
        <c:crosses val="autoZero"/>
        <c:crossBetween val="midCat"/>
      </c:valAx>
      <c:valAx>
        <c:axId val="1053800400"/>
        <c:scaling>
          <c:orientation val="minMax"/>
          <c:max val="12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Tahoma" panose="020B0604030504040204" pitchFamily="34" charset="0"/>
                    <a:cs typeface="Calibri" panose="020F0502020204030204" pitchFamily="34" charset="0"/>
                  </a:defRPr>
                </a:pPr>
                <a:r>
                  <a:rPr lang="en-US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Tahoma" panose="020B0604030504040204" pitchFamily="34" charset="0"/>
                    <a:cs typeface="Calibri" panose="020F0502020204030204" pitchFamily="34" charset="0"/>
                  </a:rPr>
                  <a:t>Spring</a:t>
                </a:r>
                <a:r>
                  <a:rPr lang="en-US" sz="8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Tahoma" panose="020B0604030504040204" pitchFamily="34" charset="0"/>
                    <a:cs typeface="Calibri" panose="020F0502020204030204" pitchFamily="34" charset="0"/>
                  </a:rPr>
                  <a:t>  fprce [lbf]</a:t>
                </a:r>
                <a:endParaRPr lang="en-US" sz="800" b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Tahoma" panose="020B0604030504040204" pitchFamily="34" charset="0"/>
                  <a:cs typeface="Calibri" panose="020F0502020204030204" pitchFamily="34" charset="0"/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344272483180981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Tahoma" panose="020B060403050404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79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686307961504813"/>
          <c:y val="7.7800495932483574E-2"/>
          <c:w val="0.52578208973878271"/>
          <c:h val="4.3556687766970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rgbClr val="545454"/>
                </a:solidFill>
                <a:latin typeface="+mn-lt"/>
                <a:ea typeface="+mn-ea"/>
                <a:cs typeface="+mn-cs"/>
              </a:defRPr>
            </a:pPr>
            <a:r>
              <a:rPr lang="en-US" sz="1050" b="1">
                <a:solidFill>
                  <a:srgbClr val="545454"/>
                </a:solidFill>
              </a:rPr>
              <a:t>Equal</a:t>
            </a:r>
            <a:r>
              <a:rPr lang="en-US" sz="1050" b="1" baseline="0">
                <a:solidFill>
                  <a:srgbClr val="545454"/>
                </a:solidFill>
              </a:rPr>
              <a:t> spring force</a:t>
            </a:r>
            <a:endParaRPr lang="en-US" sz="1050" b="1">
              <a:solidFill>
                <a:srgbClr val="545454"/>
              </a:solidFill>
            </a:endParaRPr>
          </a:p>
        </c:rich>
      </c:tx>
      <c:layout>
        <c:manualLayout>
          <c:xMode val="edge"/>
          <c:yMode val="edge"/>
          <c:x val="0.25964173228346454"/>
          <c:y val="3.14734365100914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rgbClr val="545454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08486439195099"/>
          <c:y val="0.17303602135939905"/>
          <c:w val="0.71479002624671917"/>
          <c:h val="0.67955244818535609"/>
        </c:manualLayout>
      </c:layout>
      <c:scatterChart>
        <c:scatterStyle val="lineMarker"/>
        <c:varyColors val="0"/>
        <c:ser>
          <c:idx val="0"/>
          <c:order val="0"/>
          <c:tx>
            <c:strRef>
              <c:f>eql_tr_charts_old!$P$8</c:f>
              <c:strCache>
                <c:ptCount val="1"/>
                <c:pt idx="0">
                  <c:v>Fork</c:v>
                </c:pt>
              </c:strCache>
            </c:strRef>
          </c:tx>
          <c:spPr>
            <a:ln w="1270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eql_tr_charts_old!$C$9:$C$18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110</c:v>
                </c:pt>
                <c:pt idx="6">
                  <c:v>130</c:v>
                </c:pt>
                <c:pt idx="7">
                  <c:v>150</c:v>
                </c:pt>
                <c:pt idx="8">
                  <c:v>170</c:v>
                </c:pt>
                <c:pt idx="9">
                  <c:v>190</c:v>
                </c:pt>
              </c:numCache>
            </c:numRef>
          </c:xVal>
          <c:yVal>
            <c:numRef>
              <c:f>eql_tr_charts_old!$P$9:$P$19</c:f>
              <c:numCache>
                <c:formatCode>General</c:formatCode>
                <c:ptCount val="11"/>
                <c:pt idx="0">
                  <c:v>195</c:v>
                </c:pt>
                <c:pt idx="1">
                  <c:v>257</c:v>
                </c:pt>
                <c:pt idx="2">
                  <c:v>321</c:v>
                </c:pt>
                <c:pt idx="3">
                  <c:v>387</c:v>
                </c:pt>
                <c:pt idx="4">
                  <c:v>458</c:v>
                </c:pt>
                <c:pt idx="5">
                  <c:v>534</c:v>
                </c:pt>
                <c:pt idx="6">
                  <c:v>616</c:v>
                </c:pt>
                <c:pt idx="7">
                  <c:v>707</c:v>
                </c:pt>
                <c:pt idx="8">
                  <c:v>815</c:v>
                </c:pt>
                <c:pt idx="9">
                  <c:v>948</c:v>
                </c:pt>
                <c:pt idx="10">
                  <c:v>1125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D6-4333-9B30-579880E6E075}"/>
            </c:ext>
          </c:extLst>
        </c:ser>
        <c:ser>
          <c:idx val="1"/>
          <c:order val="1"/>
          <c:tx>
            <c:strRef>
              <c:f>eql_tr_charts_old!$Q$8</c:f>
              <c:strCache>
                <c:ptCount val="1"/>
                <c:pt idx="0">
                  <c:v>Shock</c:v>
                </c:pt>
              </c:strCache>
            </c:strRef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eql_tr_charts_old!$C$9:$C$18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110</c:v>
                </c:pt>
                <c:pt idx="6">
                  <c:v>130</c:v>
                </c:pt>
                <c:pt idx="7">
                  <c:v>150</c:v>
                </c:pt>
                <c:pt idx="8">
                  <c:v>170</c:v>
                </c:pt>
                <c:pt idx="9">
                  <c:v>190</c:v>
                </c:pt>
              </c:numCache>
            </c:numRef>
          </c:xVal>
          <c:yVal>
            <c:numRef>
              <c:f>eql_tr_charts_old!$Q$9:$Q$19</c:f>
              <c:numCache>
                <c:formatCode>General</c:formatCode>
                <c:ptCount val="11"/>
                <c:pt idx="0">
                  <c:v>210</c:v>
                </c:pt>
                <c:pt idx="1">
                  <c:v>248</c:v>
                </c:pt>
                <c:pt idx="2">
                  <c:v>289</c:v>
                </c:pt>
                <c:pt idx="3">
                  <c:v>335</c:v>
                </c:pt>
                <c:pt idx="4">
                  <c:v>388</c:v>
                </c:pt>
                <c:pt idx="5">
                  <c:v>448</c:v>
                </c:pt>
                <c:pt idx="6">
                  <c:v>519</c:v>
                </c:pt>
                <c:pt idx="7">
                  <c:v>606</c:v>
                </c:pt>
                <c:pt idx="8">
                  <c:v>718</c:v>
                </c:pt>
                <c:pt idx="9">
                  <c:v>876</c:v>
                </c:pt>
                <c:pt idx="10">
                  <c:v>1074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D6-4333-9B30-579880E6E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799984"/>
        <c:axId val="1053800400"/>
      </c:scatterChart>
      <c:valAx>
        <c:axId val="1053799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Stroke from race-sag [mm]</a:t>
                </a:r>
              </a:p>
            </c:rich>
          </c:tx>
          <c:layout>
            <c:manualLayout>
              <c:xMode val="edge"/>
              <c:yMode val="edge"/>
              <c:x val="0.2322419072615923"/>
              <c:y val="0.93196820225058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800400"/>
        <c:crosses val="autoZero"/>
        <c:crossBetween val="midCat"/>
      </c:valAx>
      <c:valAx>
        <c:axId val="1053800400"/>
        <c:scaling>
          <c:orientation val="minMax"/>
          <c:max val="12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Spring</a:t>
                </a:r>
                <a:r>
                  <a:rPr lang="en-US" sz="8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  fprce [lbf]</a:t>
                </a:r>
                <a:endParaRPr lang="en-US" sz="800" b="0">
                  <a:solidFill>
                    <a:schemeClr val="tx1">
                      <a:lumMod val="65000"/>
                      <a:lumOff val="3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344272483180981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79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352974628171479"/>
          <c:y val="7.7800404259812342E-2"/>
          <c:w val="0.52578208973878271"/>
          <c:h val="4.3556687766970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rgbClr val="545454"/>
                </a:solidFill>
                <a:latin typeface="+mn-lt"/>
                <a:ea typeface="+mn-ea"/>
                <a:cs typeface="+mn-cs"/>
              </a:defRPr>
            </a:pPr>
            <a:r>
              <a:rPr lang="en-US" sz="1050" b="1">
                <a:solidFill>
                  <a:srgbClr val="545454"/>
                </a:solidFill>
              </a:rPr>
              <a:t>Equal</a:t>
            </a:r>
            <a:r>
              <a:rPr lang="en-US" sz="1050" b="1" baseline="0">
                <a:solidFill>
                  <a:srgbClr val="545454"/>
                </a:solidFill>
              </a:rPr>
              <a:t> spring force</a:t>
            </a:r>
            <a:endParaRPr lang="en-US" sz="1050" b="1">
              <a:solidFill>
                <a:srgbClr val="545454"/>
              </a:solidFill>
            </a:endParaRPr>
          </a:p>
        </c:rich>
      </c:tx>
      <c:layout>
        <c:manualLayout>
          <c:xMode val="edge"/>
          <c:yMode val="edge"/>
          <c:x val="0.25964173228346454"/>
          <c:y val="3.14734365100914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rgbClr val="545454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08486439195099"/>
          <c:y val="0.17303602135939905"/>
          <c:w val="0.71479002624671917"/>
          <c:h val="0.67955244818535609"/>
        </c:manualLayout>
      </c:layout>
      <c:scatterChart>
        <c:scatterStyle val="lineMarker"/>
        <c:varyColors val="0"/>
        <c:ser>
          <c:idx val="0"/>
          <c:order val="0"/>
          <c:tx>
            <c:strRef>
              <c:f>eql_tr_charts_old!$E$28</c:f>
              <c:strCache>
                <c:ptCount val="1"/>
                <c:pt idx="0">
                  <c:v>Fork</c:v>
                </c:pt>
              </c:strCache>
            </c:strRef>
          </c:tx>
          <c:spPr>
            <a:ln w="1270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eql_tr_charts_old!$C$9:$C$18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110</c:v>
                </c:pt>
                <c:pt idx="6">
                  <c:v>130</c:v>
                </c:pt>
                <c:pt idx="7">
                  <c:v>150</c:v>
                </c:pt>
                <c:pt idx="8">
                  <c:v>170</c:v>
                </c:pt>
                <c:pt idx="9">
                  <c:v>190</c:v>
                </c:pt>
              </c:numCache>
            </c:numRef>
          </c:xVal>
          <c:yVal>
            <c:numRef>
              <c:f>eql_tr_charts_old!$E$29:$E$38</c:f>
              <c:numCache>
                <c:formatCode>General</c:formatCode>
                <c:ptCount val="10"/>
                <c:pt idx="0">
                  <c:v>203</c:v>
                </c:pt>
                <c:pt idx="1">
                  <c:v>267</c:v>
                </c:pt>
                <c:pt idx="2">
                  <c:v>333</c:v>
                </c:pt>
                <c:pt idx="3">
                  <c:v>402</c:v>
                </c:pt>
                <c:pt idx="4">
                  <c:v>473</c:v>
                </c:pt>
                <c:pt idx="5">
                  <c:v>548</c:v>
                </c:pt>
                <c:pt idx="6">
                  <c:v>628</c:v>
                </c:pt>
                <c:pt idx="7">
                  <c:v>714</c:v>
                </c:pt>
                <c:pt idx="8">
                  <c:v>813</c:v>
                </c:pt>
                <c:pt idx="9">
                  <c:v>926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5F-4BA5-A360-FD1791F4B1A5}"/>
            </c:ext>
          </c:extLst>
        </c:ser>
        <c:ser>
          <c:idx val="1"/>
          <c:order val="1"/>
          <c:tx>
            <c:strRef>
              <c:f>eql_tr_charts_old!$F$28</c:f>
              <c:strCache>
                <c:ptCount val="1"/>
                <c:pt idx="0">
                  <c:v>Shock</c:v>
                </c:pt>
              </c:strCache>
            </c:strRef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eql_tr_charts_old!$C$9:$C$18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110</c:v>
                </c:pt>
                <c:pt idx="6">
                  <c:v>130</c:v>
                </c:pt>
                <c:pt idx="7">
                  <c:v>150</c:v>
                </c:pt>
                <c:pt idx="8">
                  <c:v>170</c:v>
                </c:pt>
                <c:pt idx="9">
                  <c:v>190</c:v>
                </c:pt>
              </c:numCache>
            </c:numRef>
          </c:xVal>
          <c:yVal>
            <c:numRef>
              <c:f>eql_tr_charts_old!$F$29:$F$38</c:f>
              <c:numCache>
                <c:formatCode>General</c:formatCode>
                <c:ptCount val="10"/>
                <c:pt idx="0">
                  <c:v>217</c:v>
                </c:pt>
                <c:pt idx="1">
                  <c:v>258</c:v>
                </c:pt>
                <c:pt idx="2">
                  <c:v>303</c:v>
                </c:pt>
                <c:pt idx="3">
                  <c:v>354</c:v>
                </c:pt>
                <c:pt idx="4">
                  <c:v>412</c:v>
                </c:pt>
                <c:pt idx="5">
                  <c:v>479</c:v>
                </c:pt>
                <c:pt idx="6">
                  <c:v>559</c:v>
                </c:pt>
                <c:pt idx="7">
                  <c:v>658</c:v>
                </c:pt>
                <c:pt idx="8">
                  <c:v>789</c:v>
                </c:pt>
                <c:pt idx="9">
                  <c:v>976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5F-4BA5-A360-FD1791F4B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799984"/>
        <c:axId val="1053800400"/>
      </c:scatterChart>
      <c:valAx>
        <c:axId val="1053799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Stroke from race-sag [mm]</a:t>
                </a:r>
              </a:p>
            </c:rich>
          </c:tx>
          <c:layout>
            <c:manualLayout>
              <c:xMode val="edge"/>
              <c:yMode val="edge"/>
              <c:x val="0.2322419072615923"/>
              <c:y val="0.93196820225058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800400"/>
        <c:crosses val="autoZero"/>
        <c:crossBetween val="midCat"/>
      </c:valAx>
      <c:valAx>
        <c:axId val="105380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Spring</a:t>
                </a:r>
                <a:r>
                  <a:rPr lang="en-US" sz="8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  fprce [lbf]</a:t>
                </a:r>
                <a:endParaRPr lang="en-US" sz="800" b="0">
                  <a:solidFill>
                    <a:schemeClr val="tx1">
                      <a:lumMod val="65000"/>
                      <a:lumOff val="3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344272483180981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79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352974628171479"/>
          <c:y val="7.7800404259812342E-2"/>
          <c:w val="0.52578208973878271"/>
          <c:h val="4.3556687766970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rgbClr val="545454"/>
                </a:solidFill>
                <a:latin typeface="+mn-lt"/>
                <a:ea typeface="+mn-ea"/>
                <a:cs typeface="+mn-cs"/>
              </a:defRPr>
            </a:pPr>
            <a:r>
              <a:rPr lang="en-US" sz="1050" b="1">
                <a:solidFill>
                  <a:srgbClr val="545454"/>
                </a:solidFill>
              </a:rPr>
              <a:t>Equal</a:t>
            </a:r>
            <a:r>
              <a:rPr lang="en-US" sz="1050" b="1" baseline="0">
                <a:solidFill>
                  <a:srgbClr val="545454"/>
                </a:solidFill>
              </a:rPr>
              <a:t> spring force</a:t>
            </a:r>
            <a:endParaRPr lang="en-US" sz="1050" b="1">
              <a:solidFill>
                <a:srgbClr val="545454"/>
              </a:solidFill>
            </a:endParaRPr>
          </a:p>
        </c:rich>
      </c:tx>
      <c:layout>
        <c:manualLayout>
          <c:xMode val="edge"/>
          <c:yMode val="edge"/>
          <c:x val="0.25964173228346454"/>
          <c:y val="3.14734365100914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rgbClr val="545454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08486439195099"/>
          <c:y val="0.17303602135939905"/>
          <c:w val="0.71479002624671917"/>
          <c:h val="0.67955244818535609"/>
        </c:manualLayout>
      </c:layout>
      <c:scatterChart>
        <c:scatterStyle val="lineMarker"/>
        <c:varyColors val="0"/>
        <c:ser>
          <c:idx val="0"/>
          <c:order val="0"/>
          <c:tx>
            <c:strRef>
              <c:f>eql_tr_charts_old!$P$28</c:f>
              <c:strCache>
                <c:ptCount val="1"/>
                <c:pt idx="0">
                  <c:v>Fork</c:v>
                </c:pt>
              </c:strCache>
            </c:strRef>
          </c:tx>
          <c:spPr>
            <a:ln w="1270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eql_tr_charts_old!$C$9:$C$18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110</c:v>
                </c:pt>
                <c:pt idx="6">
                  <c:v>130</c:v>
                </c:pt>
                <c:pt idx="7">
                  <c:v>150</c:v>
                </c:pt>
                <c:pt idx="8">
                  <c:v>170</c:v>
                </c:pt>
                <c:pt idx="9">
                  <c:v>190</c:v>
                </c:pt>
              </c:numCache>
            </c:numRef>
          </c:xVal>
          <c:yVal>
            <c:numRef>
              <c:f>eql_tr_charts_old!$P$29:$P$38</c:f>
              <c:numCache>
                <c:formatCode>General</c:formatCode>
                <c:ptCount val="10"/>
                <c:pt idx="0">
                  <c:v>215</c:v>
                </c:pt>
                <c:pt idx="1">
                  <c:v>285</c:v>
                </c:pt>
                <c:pt idx="2">
                  <c:v>356</c:v>
                </c:pt>
                <c:pt idx="3">
                  <c:v>428</c:v>
                </c:pt>
                <c:pt idx="4">
                  <c:v>506</c:v>
                </c:pt>
                <c:pt idx="5">
                  <c:v>588</c:v>
                </c:pt>
                <c:pt idx="6">
                  <c:v>677</c:v>
                </c:pt>
                <c:pt idx="7">
                  <c:v>777</c:v>
                </c:pt>
                <c:pt idx="8">
                  <c:v>892</c:v>
                </c:pt>
                <c:pt idx="9">
                  <c:v>1032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BF-4E15-A28E-BC7362590DEC}"/>
            </c:ext>
          </c:extLst>
        </c:ser>
        <c:ser>
          <c:idx val="1"/>
          <c:order val="1"/>
          <c:tx>
            <c:strRef>
              <c:f>eql_tr_charts_old!$Q$28</c:f>
              <c:strCache>
                <c:ptCount val="1"/>
                <c:pt idx="0">
                  <c:v>Shock</c:v>
                </c:pt>
              </c:strCache>
            </c:strRef>
          </c:tx>
          <c:spPr>
            <a:ln w="95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eql_tr_charts_old!$C$9:$C$18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110</c:v>
                </c:pt>
                <c:pt idx="6">
                  <c:v>130</c:v>
                </c:pt>
                <c:pt idx="7">
                  <c:v>150</c:v>
                </c:pt>
                <c:pt idx="8">
                  <c:v>170</c:v>
                </c:pt>
                <c:pt idx="9">
                  <c:v>190</c:v>
                </c:pt>
              </c:numCache>
            </c:numRef>
          </c:xVal>
          <c:yVal>
            <c:numRef>
              <c:f>eql_tr_charts_old!$Q$29:$Q$38</c:f>
              <c:numCache>
                <c:formatCode>General</c:formatCode>
                <c:ptCount val="10"/>
                <c:pt idx="0">
                  <c:v>215</c:v>
                </c:pt>
                <c:pt idx="1">
                  <c:v>255</c:v>
                </c:pt>
                <c:pt idx="2">
                  <c:v>300</c:v>
                </c:pt>
                <c:pt idx="3">
                  <c:v>350</c:v>
                </c:pt>
                <c:pt idx="4">
                  <c:v>407</c:v>
                </c:pt>
                <c:pt idx="5">
                  <c:v>474</c:v>
                </c:pt>
                <c:pt idx="6">
                  <c:v>553</c:v>
                </c:pt>
                <c:pt idx="7">
                  <c:v>651</c:v>
                </c:pt>
                <c:pt idx="8">
                  <c:v>780</c:v>
                </c:pt>
                <c:pt idx="9">
                  <c:v>966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BF-4E15-A28E-BC7362590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799984"/>
        <c:axId val="1053800400"/>
      </c:scatterChart>
      <c:valAx>
        <c:axId val="1053799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Stroke from race-sag [mm]</a:t>
                </a:r>
              </a:p>
            </c:rich>
          </c:tx>
          <c:layout>
            <c:manualLayout>
              <c:xMode val="edge"/>
              <c:yMode val="edge"/>
              <c:x val="0.2322419072615923"/>
              <c:y val="0.93196820225058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800400"/>
        <c:crosses val="autoZero"/>
        <c:crossBetween val="midCat"/>
      </c:valAx>
      <c:valAx>
        <c:axId val="105380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Spring</a:t>
                </a:r>
                <a:r>
                  <a:rPr lang="en-US" sz="8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  fprce [lbf]</a:t>
                </a:r>
                <a:endParaRPr lang="en-US" sz="800" b="0">
                  <a:solidFill>
                    <a:schemeClr val="tx1">
                      <a:lumMod val="65000"/>
                      <a:lumOff val="3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344272483180981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379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352974628171479"/>
          <c:y val="7.7800404259812342E-2"/>
          <c:w val="0.52578208973878271"/>
          <c:h val="4.3556687766970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3277116377159459"/>
          <c:y val="0.458333333333333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43344138232720908"/>
                  <c:y val="-0.15782407407407406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Fk_Fgas_DFF_Sherco!$V$37:$V$39</c:f>
              <c:numCache>
                <c:formatCode>General</c:formatCode>
                <c:ptCount val="3"/>
                <c:pt idx="0">
                  <c:v>3</c:v>
                </c:pt>
                <c:pt idx="1">
                  <c:v>6</c:v>
                </c:pt>
                <c:pt idx="2">
                  <c:v>9</c:v>
                </c:pt>
              </c:numCache>
            </c:numRef>
          </c:xVal>
          <c:yVal>
            <c:numRef>
              <c:f>Fk_Fgas_DFF_Sherco!$Y$37:$Y$39</c:f>
              <c:numCache>
                <c:formatCode>General</c:formatCode>
                <c:ptCount val="3"/>
                <c:pt idx="0">
                  <c:v>13.399999999999999</c:v>
                </c:pt>
                <c:pt idx="1">
                  <c:v>31.8</c:v>
                </c:pt>
                <c:pt idx="2">
                  <c:v>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F01-4B33-80E9-4F84F1E99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192511"/>
        <c:axId val="131181695"/>
      </c:scatterChart>
      <c:valAx>
        <c:axId val="1311925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81695"/>
        <c:crosses val="autoZero"/>
        <c:crossBetween val="midCat"/>
      </c:valAx>
      <c:valAx>
        <c:axId val="13118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925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419099</xdr:colOff>
      <xdr:row>22</xdr:row>
      <xdr:rowOff>90112</xdr:rowOff>
    </xdr:from>
    <xdr:to>
      <xdr:col>32</xdr:col>
      <xdr:colOff>116415</xdr:colOff>
      <xdr:row>31</xdr:row>
      <xdr:rowOff>112182</xdr:rowOff>
    </xdr:to>
    <xdr:pic>
      <xdr:nvPicPr>
        <xdr:cNvPr id="2" name="Picture 1" descr="spring rate equation for motocross rear spring race sag">
          <a:extLst>
            <a:ext uri="{FF2B5EF4-FFF2-40B4-BE49-F238E27FC236}">
              <a16:creationId xmlns:a16="http://schemas.microsoft.com/office/drawing/2014/main" id="{C4F27F43-C4FA-43C6-9F45-DF27C816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69174" y="4281112"/>
          <a:ext cx="3964517" cy="1736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419099</xdr:colOff>
      <xdr:row>22</xdr:row>
      <xdr:rowOff>90112</xdr:rowOff>
    </xdr:from>
    <xdr:to>
      <xdr:col>30</xdr:col>
      <xdr:colOff>116416</xdr:colOff>
      <xdr:row>30</xdr:row>
      <xdr:rowOff>218016</xdr:rowOff>
    </xdr:to>
    <xdr:pic>
      <xdr:nvPicPr>
        <xdr:cNvPr id="2" name="Picture 1" descr="spring rate equation for motocross rear spring race sag">
          <a:extLst>
            <a:ext uri="{FF2B5EF4-FFF2-40B4-BE49-F238E27FC236}">
              <a16:creationId xmlns:a16="http://schemas.microsoft.com/office/drawing/2014/main" id="{05CCCF4B-1BAC-4F18-99B2-F1AB70A48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69174" y="4281112"/>
          <a:ext cx="3964517" cy="1736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179917</xdr:colOff>
      <xdr:row>15</xdr:row>
      <xdr:rowOff>0</xdr:rowOff>
    </xdr:from>
    <xdr:to>
      <xdr:col>21</xdr:col>
      <xdr:colOff>21166</xdr:colOff>
      <xdr:row>17</xdr:row>
      <xdr:rowOff>84667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661D5F4-280B-6E50-2CE4-764DA2427492}"/>
            </a:ext>
          </a:extLst>
        </xdr:cNvPr>
        <xdr:cNvCxnSpPr/>
      </xdr:nvCxnSpPr>
      <xdr:spPr>
        <a:xfrm>
          <a:off x="11705167" y="2889250"/>
          <a:ext cx="560916" cy="47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158750</xdr:colOff>
      <xdr:row>17</xdr:row>
      <xdr:rowOff>105834</xdr:rowOff>
    </xdr:from>
    <xdr:to>
      <xdr:col>21</xdr:col>
      <xdr:colOff>21166</xdr:colOff>
      <xdr:row>20</xdr:row>
      <xdr:rowOff>169333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3ECE93C-221E-B4F7-19F1-3788F709B719}"/>
            </a:ext>
          </a:extLst>
        </xdr:cNvPr>
        <xdr:cNvCxnSpPr/>
      </xdr:nvCxnSpPr>
      <xdr:spPr>
        <a:xfrm flipV="1">
          <a:off x="11684000" y="3386667"/>
          <a:ext cx="582083" cy="64558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419099</xdr:colOff>
      <xdr:row>22</xdr:row>
      <xdr:rowOff>90112</xdr:rowOff>
    </xdr:from>
    <xdr:to>
      <xdr:col>32</xdr:col>
      <xdr:colOff>116416</xdr:colOff>
      <xdr:row>31</xdr:row>
      <xdr:rowOff>112182</xdr:rowOff>
    </xdr:to>
    <xdr:pic>
      <xdr:nvPicPr>
        <xdr:cNvPr id="2" name="Picture 1" descr="spring rate equation for motocross rear spring race sag">
          <a:extLst>
            <a:ext uri="{FF2B5EF4-FFF2-40B4-BE49-F238E27FC236}">
              <a16:creationId xmlns:a16="http://schemas.microsoft.com/office/drawing/2014/main" id="{D28EA8EE-9A66-46E4-B550-7085AB006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69174" y="4281112"/>
          <a:ext cx="3964517" cy="1736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419099</xdr:colOff>
      <xdr:row>22</xdr:row>
      <xdr:rowOff>90112</xdr:rowOff>
    </xdr:from>
    <xdr:to>
      <xdr:col>32</xdr:col>
      <xdr:colOff>116416</xdr:colOff>
      <xdr:row>31</xdr:row>
      <xdr:rowOff>112182</xdr:rowOff>
    </xdr:to>
    <xdr:pic>
      <xdr:nvPicPr>
        <xdr:cNvPr id="2" name="Picture 1" descr="spring rate equation for motocross rear spring race sag">
          <a:extLst>
            <a:ext uri="{FF2B5EF4-FFF2-40B4-BE49-F238E27FC236}">
              <a16:creationId xmlns:a16="http://schemas.microsoft.com/office/drawing/2014/main" id="{54192E79-93F6-4DFA-9AFA-D6DB2B222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69174" y="4281112"/>
          <a:ext cx="3964517" cy="1736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419099</xdr:colOff>
      <xdr:row>22</xdr:row>
      <xdr:rowOff>90112</xdr:rowOff>
    </xdr:from>
    <xdr:to>
      <xdr:col>32</xdr:col>
      <xdr:colOff>116416</xdr:colOff>
      <xdr:row>31</xdr:row>
      <xdr:rowOff>112182</xdr:rowOff>
    </xdr:to>
    <xdr:pic>
      <xdr:nvPicPr>
        <xdr:cNvPr id="2" name="Picture 1" descr="spring rate equation for motocross rear spring race sag">
          <a:extLst>
            <a:ext uri="{FF2B5EF4-FFF2-40B4-BE49-F238E27FC236}">
              <a16:creationId xmlns:a16="http://schemas.microsoft.com/office/drawing/2014/main" id="{152D2ED1-A1A8-4CDF-939E-B9479D817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69174" y="4281112"/>
          <a:ext cx="3964517" cy="1736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6</xdr:row>
      <xdr:rowOff>57150</xdr:rowOff>
    </xdr:from>
    <xdr:to>
      <xdr:col>10</xdr:col>
      <xdr:colOff>504825</xdr:colOff>
      <xdr:row>18</xdr:row>
      <xdr:rowOff>184785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0281EC-28D5-46E7-9137-B5A2430C0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47625</xdr:colOff>
      <xdr:row>6</xdr:row>
      <xdr:rowOff>57150</xdr:rowOff>
    </xdr:from>
    <xdr:to>
      <xdr:col>21</xdr:col>
      <xdr:colOff>504825</xdr:colOff>
      <xdr:row>18</xdr:row>
      <xdr:rowOff>184785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DB56BE-7EF2-4D6D-B561-84110FDB4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47625</xdr:colOff>
      <xdr:row>26</xdr:row>
      <xdr:rowOff>57150</xdr:rowOff>
    </xdr:from>
    <xdr:to>
      <xdr:col>10</xdr:col>
      <xdr:colOff>504825</xdr:colOff>
      <xdr:row>38</xdr:row>
      <xdr:rowOff>185166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29925E0-6BE5-4C2D-99EE-99E931376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</xdr:colOff>
      <xdr:row>26</xdr:row>
      <xdr:rowOff>57150</xdr:rowOff>
    </xdr:from>
    <xdr:to>
      <xdr:col>21</xdr:col>
      <xdr:colOff>504825</xdr:colOff>
      <xdr:row>38</xdr:row>
      <xdr:rowOff>185166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932DE08-8CFF-4DD4-8590-658113F82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6</xdr:row>
      <xdr:rowOff>57150</xdr:rowOff>
    </xdr:from>
    <xdr:to>
      <xdr:col>10</xdr:col>
      <xdr:colOff>504825</xdr:colOff>
      <xdr:row>18</xdr:row>
      <xdr:rowOff>184785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F4A490-0B05-4C09-A5DC-69B5B86FD9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47625</xdr:colOff>
      <xdr:row>6</xdr:row>
      <xdr:rowOff>57150</xdr:rowOff>
    </xdr:from>
    <xdr:to>
      <xdr:col>21</xdr:col>
      <xdr:colOff>504825</xdr:colOff>
      <xdr:row>18</xdr:row>
      <xdr:rowOff>184785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83B515-3348-404A-A652-E1200218E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47625</xdr:colOff>
      <xdr:row>26</xdr:row>
      <xdr:rowOff>57150</xdr:rowOff>
    </xdr:from>
    <xdr:to>
      <xdr:col>10</xdr:col>
      <xdr:colOff>504825</xdr:colOff>
      <xdr:row>38</xdr:row>
      <xdr:rowOff>185166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77FDA73-434B-4889-92F0-3AAB3512D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</xdr:colOff>
      <xdr:row>26</xdr:row>
      <xdr:rowOff>66675</xdr:rowOff>
    </xdr:from>
    <xdr:to>
      <xdr:col>21</xdr:col>
      <xdr:colOff>504825</xdr:colOff>
      <xdr:row>39</xdr:row>
      <xdr:rowOff>4191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F9826E6-64AE-4CA1-B78D-78F82CE34F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234951</xdr:colOff>
      <xdr:row>12</xdr:row>
      <xdr:rowOff>27672</xdr:rowOff>
    </xdr:from>
    <xdr:to>
      <xdr:col>18</xdr:col>
      <xdr:colOff>664635</xdr:colOff>
      <xdr:row>21</xdr:row>
      <xdr:rowOff>39158</xdr:rowOff>
    </xdr:to>
    <xdr:pic>
      <xdr:nvPicPr>
        <xdr:cNvPr id="2" name="Picture 1" descr="spring rate equation for motocross rear spring race sag">
          <a:extLst>
            <a:ext uri="{FF2B5EF4-FFF2-40B4-BE49-F238E27FC236}">
              <a16:creationId xmlns:a16="http://schemas.microsoft.com/office/drawing/2014/main" id="{97080AA4-ACA6-4C1C-A912-E443B72ED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4034" y="2356005"/>
          <a:ext cx="3985684" cy="1736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666749</xdr:colOff>
      <xdr:row>9</xdr:row>
      <xdr:rowOff>169333</xdr:rowOff>
    </xdr:from>
    <xdr:to>
      <xdr:col>10</xdr:col>
      <xdr:colOff>52917</xdr:colOff>
      <xdr:row>10</xdr:row>
      <xdr:rowOff>63500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A87ABB8-9D33-84BE-39E3-D225B7201291}"/>
            </a:ext>
          </a:extLst>
        </xdr:cNvPr>
        <xdr:cNvCxnSpPr/>
      </xdr:nvCxnSpPr>
      <xdr:spPr>
        <a:xfrm flipV="1">
          <a:off x="7545916" y="1714500"/>
          <a:ext cx="169334" cy="9525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47779</xdr:rowOff>
    </xdr:from>
    <xdr:to>
      <xdr:col>4</xdr:col>
      <xdr:colOff>723900</xdr:colOff>
      <xdr:row>26</xdr:row>
      <xdr:rowOff>69849</xdr:rowOff>
    </xdr:to>
    <xdr:pic>
      <xdr:nvPicPr>
        <xdr:cNvPr id="2" name="Picture 1" descr="spring rate equation for motocross rear spring race sag">
          <a:extLst>
            <a:ext uri="{FF2B5EF4-FFF2-40B4-BE49-F238E27FC236}">
              <a16:creationId xmlns:a16="http://schemas.microsoft.com/office/drawing/2014/main" id="{91880C5F-4118-4629-BBD8-B3CFE1357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9196"/>
          <a:ext cx="3994150" cy="1736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419099</xdr:colOff>
      <xdr:row>36</xdr:row>
      <xdr:rowOff>90112</xdr:rowOff>
    </xdr:from>
    <xdr:to>
      <xdr:col>32</xdr:col>
      <xdr:colOff>116416</xdr:colOff>
      <xdr:row>45</xdr:row>
      <xdr:rowOff>101599</xdr:rowOff>
    </xdr:to>
    <xdr:pic>
      <xdr:nvPicPr>
        <xdr:cNvPr id="2" name="Picture 1" descr="spring rate equation for motocross rear spring race sag">
          <a:extLst>
            <a:ext uri="{FF2B5EF4-FFF2-40B4-BE49-F238E27FC236}">
              <a16:creationId xmlns:a16="http://schemas.microsoft.com/office/drawing/2014/main" id="{4CC1C1CE-472C-4D87-854A-977388EE3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07099" y="6643312"/>
          <a:ext cx="3964517" cy="1735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518584</xdr:colOff>
      <xdr:row>26</xdr:row>
      <xdr:rowOff>37039</xdr:rowOff>
    </xdr:from>
    <xdr:to>
      <xdr:col>24</xdr:col>
      <xdr:colOff>592668</xdr:colOff>
      <xdr:row>44</xdr:row>
      <xdr:rowOff>151030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5D1555-A245-4FF0-A71B-D1E088BC0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0984" y="4647139"/>
          <a:ext cx="6170084" cy="3590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211667</xdr:colOff>
      <xdr:row>19</xdr:row>
      <xdr:rowOff>148167</xdr:rowOff>
    </xdr:from>
    <xdr:to>
      <xdr:col>7</xdr:col>
      <xdr:colOff>285750</xdr:colOff>
      <xdr:row>34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28E4D58-2DC0-40EC-A2DE-E6563D22466A}"/>
            </a:ext>
          </a:extLst>
        </xdr:cNvPr>
        <xdr:cNvCxnSpPr/>
      </xdr:nvCxnSpPr>
      <xdr:spPr>
        <a:xfrm flipH="1" flipV="1">
          <a:off x="4764617" y="3424767"/>
          <a:ext cx="855133" cy="27379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19</xdr:row>
      <xdr:rowOff>0</xdr:rowOff>
    </xdr:from>
    <xdr:to>
      <xdr:col>6</xdr:col>
      <xdr:colOff>211667</xdr:colOff>
      <xdr:row>19</xdr:row>
      <xdr:rowOff>148167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3C8DE59-91C7-4869-8FE4-F64E305FDDB3}"/>
            </a:ext>
          </a:extLst>
        </xdr:cNvPr>
        <xdr:cNvCxnSpPr/>
      </xdr:nvCxnSpPr>
      <xdr:spPr>
        <a:xfrm flipH="1" flipV="1">
          <a:off x="3771900" y="3276600"/>
          <a:ext cx="992717" cy="14816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402167</xdr:colOff>
      <xdr:row>19</xdr:row>
      <xdr:rowOff>63500</xdr:rowOff>
    </xdr:from>
    <xdr:to>
      <xdr:col>10</xdr:col>
      <xdr:colOff>285750</xdr:colOff>
      <xdr:row>29</xdr:row>
      <xdr:rowOff>84667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446F414D-DECE-472C-943D-857047A9A075}"/>
            </a:ext>
          </a:extLst>
        </xdr:cNvPr>
        <xdr:cNvCxnSpPr/>
      </xdr:nvCxnSpPr>
      <xdr:spPr>
        <a:xfrm flipH="1">
          <a:off x="7298267" y="3340100"/>
          <a:ext cx="664633" cy="19452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277080</xdr:colOff>
      <xdr:row>0</xdr:row>
      <xdr:rowOff>185364</xdr:rowOff>
    </xdr:from>
    <xdr:to>
      <xdr:col>16</xdr:col>
      <xdr:colOff>127001</xdr:colOff>
      <xdr:row>8</xdr:row>
      <xdr:rowOff>127001</xdr:rowOff>
    </xdr:to>
    <xdr:pic>
      <xdr:nvPicPr>
        <xdr:cNvPr id="2" name="Picture 1" descr="spring rate equation for motocross rear spring race sag">
          <a:extLst>
            <a:ext uri="{FF2B5EF4-FFF2-40B4-BE49-F238E27FC236}">
              <a16:creationId xmlns:a16="http://schemas.microsoft.com/office/drawing/2014/main" id="{501720FE-BD3D-4B0B-B407-9129DAD82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6080" y="185364"/>
          <a:ext cx="3395338" cy="1476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606425</xdr:colOff>
      <xdr:row>27</xdr:row>
      <xdr:rowOff>47622</xdr:rowOff>
    </xdr:from>
    <xdr:to>
      <xdr:col>31</xdr:col>
      <xdr:colOff>539751</xdr:colOff>
      <xdr:row>45</xdr:row>
      <xdr:rowOff>137583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8C2900-4F1C-EB4E-D002-0BAFB5CD2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5342" y="5244039"/>
          <a:ext cx="5457826" cy="3561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588432</xdr:colOff>
      <xdr:row>21</xdr:row>
      <xdr:rowOff>111279</xdr:rowOff>
    </xdr:from>
    <xdr:to>
      <xdr:col>33</xdr:col>
      <xdr:colOff>63499</xdr:colOff>
      <xdr:row>30</xdr:row>
      <xdr:rowOff>59266</xdr:rowOff>
    </xdr:to>
    <xdr:pic>
      <xdr:nvPicPr>
        <xdr:cNvPr id="2" name="Picture 1" descr="spring rate equation for motocross rear spring race sag">
          <a:extLst>
            <a:ext uri="{FF2B5EF4-FFF2-40B4-BE49-F238E27FC236}">
              <a16:creationId xmlns:a16="http://schemas.microsoft.com/office/drawing/2014/main" id="{463E7CAA-6A56-4D2E-9260-9C9FB61B2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16765" y="4164696"/>
          <a:ext cx="3994150" cy="1736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42335</xdr:colOff>
      <xdr:row>40</xdr:row>
      <xdr:rowOff>120648</xdr:rowOff>
    </xdr:from>
    <xdr:to>
      <xdr:col>24</xdr:col>
      <xdr:colOff>381002</xdr:colOff>
      <xdr:row>54</xdr:row>
      <xdr:rowOff>165098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E90FFE7-1D51-A1BE-7AC6-A16F82807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419099</xdr:colOff>
      <xdr:row>22</xdr:row>
      <xdr:rowOff>90112</xdr:rowOff>
    </xdr:from>
    <xdr:to>
      <xdr:col>32</xdr:col>
      <xdr:colOff>116415</xdr:colOff>
      <xdr:row>31</xdr:row>
      <xdr:rowOff>91015</xdr:rowOff>
    </xdr:to>
    <xdr:pic>
      <xdr:nvPicPr>
        <xdr:cNvPr id="2" name="Picture 1" descr="spring rate equation for motocross rear spring race sag">
          <a:extLst>
            <a:ext uri="{FF2B5EF4-FFF2-40B4-BE49-F238E27FC236}">
              <a16:creationId xmlns:a16="http://schemas.microsoft.com/office/drawing/2014/main" id="{015DCF4D-0F78-4CE3-9E31-0F96998FB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69174" y="4281112"/>
          <a:ext cx="3964517" cy="1736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eme1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006B1-A634-4448-9E26-50463C65DBA9}">
  <sheetPr transitionEvaluation="1" transitionEntry="1"/>
  <dimension ref="A1"/>
  <sheetViews>
    <sheetView showGridLines="0" zoomScale="90" zoomScaleNormal="90" workbookViewId="0"/>
  </sheetViews>
  <sheetFormatPr defaultRowHeight="15" x14ac:dyDescent="0.25"/>
  <cols>
    <col min="1" max="22" width="10.7109375" customWidth="1"/>
    <col min="23" max="24" width="11.7109375" customWidth="1"/>
  </cols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898F-0F05-49C9-9EB4-C3E41E728469}">
  <sheetPr transitionEvaluation="1" transitionEntry="1" codeName="Sheet12">
    <tabColor rgb="FFFFFFCC"/>
  </sheetPr>
  <dimension ref="A1:S39"/>
  <sheetViews>
    <sheetView showGridLines="0" zoomScale="90" zoomScaleNormal="90" workbookViewId="0">
      <selection activeCell="L16" sqref="L16"/>
    </sheetView>
  </sheetViews>
  <sheetFormatPr defaultRowHeight="15" x14ac:dyDescent="0.25"/>
  <cols>
    <col min="1" max="6" width="11.7109375" customWidth="1"/>
    <col min="7" max="14" width="9.7109375" customWidth="1"/>
    <col min="15" max="16" width="16.140625" customWidth="1"/>
    <col min="17" max="24" width="11.7109375" customWidth="1"/>
  </cols>
  <sheetData>
    <row r="1" spans="1:19" x14ac:dyDescent="0.25">
      <c r="O1" t="s">
        <v>102</v>
      </c>
    </row>
    <row r="2" spans="1:19" x14ac:dyDescent="0.25">
      <c r="A2" t="s">
        <v>140</v>
      </c>
      <c r="B2" s="85" t="s">
        <v>173</v>
      </c>
      <c r="C2" s="45"/>
      <c r="D2" s="45"/>
      <c r="E2" s="45"/>
      <c r="F2" s="46"/>
      <c r="O2">
        <v>101.3069</v>
      </c>
      <c r="P2" t="s">
        <v>105</v>
      </c>
      <c r="Q2" s="15" t="s">
        <v>103</v>
      </c>
    </row>
    <row r="3" spans="1:19" x14ac:dyDescent="0.25">
      <c r="A3" s="60" t="s">
        <v>375</v>
      </c>
      <c r="B3" s="44"/>
      <c r="C3" s="45"/>
      <c r="D3" s="45"/>
      <c r="E3" s="45"/>
      <c r="F3" s="46"/>
      <c r="O3">
        <v>15.702999999999999</v>
      </c>
      <c r="P3" t="s">
        <v>106</v>
      </c>
      <c r="Q3" s="15" t="s">
        <v>104</v>
      </c>
    </row>
    <row r="4" spans="1:19" x14ac:dyDescent="0.25">
      <c r="B4" s="24"/>
      <c r="C4" s="77" t="s">
        <v>159</v>
      </c>
      <c r="D4" s="62">
        <v>180</v>
      </c>
      <c r="E4" s="76" t="s">
        <v>89</v>
      </c>
      <c r="F4" s="82" t="s">
        <v>184</v>
      </c>
      <c r="O4" s="51">
        <f>O3/O2</f>
        <v>0.15500424946375815</v>
      </c>
      <c r="P4" t="s">
        <v>107</v>
      </c>
    </row>
    <row r="5" spans="1:19" x14ac:dyDescent="0.25">
      <c r="A5" t="s">
        <v>240</v>
      </c>
      <c r="B5" s="24"/>
      <c r="F5" s="25"/>
      <c r="I5" s="1" t="s">
        <v>457</v>
      </c>
      <c r="O5">
        <v>1.5499999999999999E-3</v>
      </c>
      <c r="P5" t="s">
        <v>131</v>
      </c>
    </row>
    <row r="6" spans="1:19" x14ac:dyDescent="0.25">
      <c r="A6" s="90">
        <v>12.5</v>
      </c>
      <c r="B6" s="24"/>
      <c r="C6" s="77" t="s">
        <v>174</v>
      </c>
      <c r="D6" s="62">
        <v>12.5</v>
      </c>
      <c r="E6" s="76" t="s">
        <v>89</v>
      </c>
      <c r="F6" s="25" t="s">
        <v>185</v>
      </c>
      <c r="I6" s="1" t="s">
        <v>458</v>
      </c>
      <c r="K6" s="2" t="s">
        <v>451</v>
      </c>
      <c r="L6" s="2" t="s">
        <v>355</v>
      </c>
      <c r="M6" s="2" t="s">
        <v>355</v>
      </c>
      <c r="O6" s="67">
        <v>6.1023700000000003E-5</v>
      </c>
      <c r="P6" s="15" t="s">
        <v>134</v>
      </c>
    </row>
    <row r="7" spans="1:19" x14ac:dyDescent="0.25">
      <c r="A7" s="90">
        <v>36</v>
      </c>
      <c r="B7" s="24"/>
      <c r="C7" s="50" t="s">
        <v>175</v>
      </c>
      <c r="D7" s="62">
        <v>36</v>
      </c>
      <c r="E7" s="76" t="s">
        <v>89</v>
      </c>
      <c r="F7" s="25" t="s">
        <v>186</v>
      </c>
      <c r="H7" s="330" t="s">
        <v>249</v>
      </c>
      <c r="I7" s="330" t="s">
        <v>446</v>
      </c>
      <c r="J7" s="330" t="s">
        <v>9</v>
      </c>
      <c r="K7" s="331" t="s">
        <v>456</v>
      </c>
      <c r="L7" s="331" t="s">
        <v>456</v>
      </c>
      <c r="M7" s="331" t="s">
        <v>454</v>
      </c>
      <c r="O7">
        <v>1421.941</v>
      </c>
      <c r="P7" s="15" t="s">
        <v>133</v>
      </c>
    </row>
    <row r="8" spans="1:19" x14ac:dyDescent="0.25">
      <c r="A8" s="90">
        <v>10</v>
      </c>
      <c r="B8" s="24"/>
      <c r="C8" s="50" t="s">
        <v>176</v>
      </c>
      <c r="D8" s="62">
        <v>10</v>
      </c>
      <c r="E8" s="76" t="s">
        <v>89</v>
      </c>
      <c r="F8" s="25" t="s">
        <v>187</v>
      </c>
      <c r="H8" s="6">
        <v>180</v>
      </c>
      <c r="I8" s="6" t="s">
        <v>452</v>
      </c>
      <c r="J8" s="6" t="s">
        <v>452</v>
      </c>
      <c r="K8" s="6">
        <v>32.33</v>
      </c>
      <c r="L8" s="6">
        <v>32.35</v>
      </c>
      <c r="M8" s="6">
        <v>35.94</v>
      </c>
      <c r="O8">
        <v>56</v>
      </c>
      <c r="P8" t="s">
        <v>135</v>
      </c>
    </row>
    <row r="9" spans="1:19" x14ac:dyDescent="0.25">
      <c r="A9" s="90">
        <v>1.95</v>
      </c>
      <c r="B9" s="24"/>
      <c r="C9" s="77" t="s">
        <v>177</v>
      </c>
      <c r="D9" s="62">
        <v>2.04</v>
      </c>
      <c r="E9" s="76" t="s">
        <v>123</v>
      </c>
      <c r="F9" s="25" t="s">
        <v>188</v>
      </c>
      <c r="H9" s="334">
        <v>200</v>
      </c>
      <c r="I9" s="334" t="s">
        <v>452</v>
      </c>
      <c r="J9" s="334" t="s">
        <v>452</v>
      </c>
      <c r="K9" s="336">
        <v>35.4</v>
      </c>
      <c r="L9" s="334">
        <v>35.42</v>
      </c>
      <c r="M9" s="334">
        <v>39.299999999999997</v>
      </c>
      <c r="N9" t="s">
        <v>455</v>
      </c>
    </row>
    <row r="10" spans="1:19" x14ac:dyDescent="0.25">
      <c r="A10" s="90">
        <v>0</v>
      </c>
      <c r="B10" s="24"/>
      <c r="C10" s="77" t="s">
        <v>347</v>
      </c>
      <c r="D10" s="62">
        <v>4</v>
      </c>
      <c r="E10" s="76" t="s">
        <v>89</v>
      </c>
      <c r="F10" s="25" t="s">
        <v>233</v>
      </c>
      <c r="H10" s="6">
        <v>240</v>
      </c>
      <c r="I10" s="6" t="s">
        <v>452</v>
      </c>
      <c r="J10" s="6" t="s">
        <v>452</v>
      </c>
      <c r="K10" s="6">
        <v>41.55</v>
      </c>
      <c r="L10" s="6">
        <v>41.56</v>
      </c>
      <c r="M10" s="6">
        <v>46.17</v>
      </c>
      <c r="O10" s="66">
        <f>Q10/25.4</f>
        <v>0.49212598425196852</v>
      </c>
      <c r="P10" t="s">
        <v>127</v>
      </c>
      <c r="Q10" s="62">
        <v>12.5</v>
      </c>
      <c r="R10" t="s">
        <v>89</v>
      </c>
      <c r="S10" t="s">
        <v>108</v>
      </c>
    </row>
    <row r="11" spans="1:19" x14ac:dyDescent="0.25">
      <c r="B11" s="24"/>
      <c r="F11" s="25"/>
      <c r="H11" s="334">
        <v>266.60000000000002</v>
      </c>
      <c r="I11" s="334" t="s">
        <v>452</v>
      </c>
      <c r="J11" s="334" t="s">
        <v>452</v>
      </c>
      <c r="K11" s="336">
        <v>45.63</v>
      </c>
      <c r="L11" s="334">
        <v>45.65</v>
      </c>
      <c r="M11" s="334">
        <v>50.71</v>
      </c>
      <c r="N11" t="s">
        <v>455</v>
      </c>
      <c r="O11" s="51">
        <f>(O10/2)^2*3.1416</f>
        <v>0.19021444292888587</v>
      </c>
      <c r="P11" t="s">
        <v>128</v>
      </c>
      <c r="Q11" s="12">
        <f>(Q10/2)^2*3.1416</f>
        <v>122.71875</v>
      </c>
      <c r="R11" t="s">
        <v>90</v>
      </c>
      <c r="S11" t="s">
        <v>115</v>
      </c>
    </row>
    <row r="12" spans="1:19" x14ac:dyDescent="0.25">
      <c r="B12" s="24"/>
      <c r="C12" t="s">
        <v>178</v>
      </c>
      <c r="D12" s="65">
        <f>(D6/2)^2*3.1416</f>
        <v>122.71875</v>
      </c>
      <c r="E12" s="76" t="s">
        <v>90</v>
      </c>
      <c r="F12" s="25" t="s">
        <v>189</v>
      </c>
      <c r="H12" s="6">
        <v>269</v>
      </c>
      <c r="I12" s="6" t="s">
        <v>452</v>
      </c>
      <c r="J12" s="6" t="s">
        <v>452</v>
      </c>
      <c r="K12" s="6">
        <v>46</v>
      </c>
      <c r="L12" s="6">
        <v>46.01</v>
      </c>
      <c r="M12" s="6">
        <v>51.12</v>
      </c>
      <c r="O12" s="66">
        <f>Q12/25.4</f>
        <v>1.4173228346456694</v>
      </c>
      <c r="P12" t="s">
        <v>127</v>
      </c>
      <c r="Q12" s="62">
        <v>36</v>
      </c>
      <c r="R12" t="s">
        <v>89</v>
      </c>
      <c r="S12" s="63" t="s">
        <v>113</v>
      </c>
    </row>
    <row r="13" spans="1:19" x14ac:dyDescent="0.25">
      <c r="B13" s="24"/>
      <c r="C13" t="s">
        <v>179</v>
      </c>
      <c r="D13" s="65">
        <f>(D7/2)^2*3.1416</f>
        <v>1017.8783999999999</v>
      </c>
      <c r="E13" s="76" t="s">
        <v>90</v>
      </c>
      <c r="F13" s="25" t="s">
        <v>190</v>
      </c>
      <c r="H13" s="334">
        <v>298.89999999999998</v>
      </c>
      <c r="I13" s="334" t="s">
        <v>452</v>
      </c>
      <c r="J13" s="334" t="s">
        <v>452</v>
      </c>
      <c r="K13" s="334">
        <v>50.59</v>
      </c>
      <c r="L13" s="334">
        <v>50.61</v>
      </c>
      <c r="M13" s="334">
        <v>56.22</v>
      </c>
      <c r="N13" t="s">
        <v>455</v>
      </c>
      <c r="O13" s="13">
        <f>(O12/2)^2*3.1416</f>
        <v>1.577714675429351</v>
      </c>
      <c r="P13" t="s">
        <v>128</v>
      </c>
      <c r="Q13" s="12">
        <f>(Q12/2)^2*3.1416</f>
        <v>1017.8783999999999</v>
      </c>
      <c r="R13" t="s">
        <v>90</v>
      </c>
      <c r="S13" t="s">
        <v>118</v>
      </c>
    </row>
    <row r="14" spans="1:19" x14ac:dyDescent="0.25">
      <c r="B14" s="24"/>
      <c r="C14" t="s">
        <v>180</v>
      </c>
      <c r="D14" s="65">
        <f>(D8/2)^2*3.1416</f>
        <v>78.539999999999992</v>
      </c>
      <c r="E14" s="76" t="s">
        <v>90</v>
      </c>
      <c r="F14" s="25" t="s">
        <v>234</v>
      </c>
      <c r="O14" s="66">
        <f>Q14/25.4</f>
        <v>0.39370078740157483</v>
      </c>
      <c r="P14" t="s">
        <v>127</v>
      </c>
      <c r="Q14" s="62">
        <v>10</v>
      </c>
      <c r="R14" t="s">
        <v>89</v>
      </c>
      <c r="S14" t="s">
        <v>114</v>
      </c>
    </row>
    <row r="15" spans="1:19" x14ac:dyDescent="0.25">
      <c r="B15" s="24"/>
      <c r="F15" s="25"/>
      <c r="O15" s="51">
        <f>(O14/2)^2*3.1416</f>
        <v>0.12173724347448694</v>
      </c>
      <c r="P15" t="s">
        <v>128</v>
      </c>
      <c r="Q15" s="65">
        <f>(Q14/2)^2*3.1416</f>
        <v>78.539999999999992</v>
      </c>
      <c r="R15" t="s">
        <v>90</v>
      </c>
      <c r="S15" t="s">
        <v>119</v>
      </c>
    </row>
    <row r="16" spans="1:19" x14ac:dyDescent="0.25">
      <c r="B16" s="24"/>
      <c r="C16" s="77" t="s">
        <v>183</v>
      </c>
      <c r="D16" s="65">
        <f>D13-D14</f>
        <v>939.33839999999998</v>
      </c>
      <c r="E16" s="76" t="s">
        <v>90</v>
      </c>
      <c r="F16" s="83" t="s">
        <v>235</v>
      </c>
      <c r="O16" s="13">
        <f>O13-O15</f>
        <v>1.455977431954864</v>
      </c>
      <c r="P16" t="s">
        <v>128</v>
      </c>
      <c r="Q16" s="12">
        <f>Q13-Q15</f>
        <v>939.33839999999998</v>
      </c>
      <c r="R16" s="15" t="s">
        <v>90</v>
      </c>
      <c r="S16" s="15" t="s">
        <v>120</v>
      </c>
    </row>
    <row r="17" spans="2:19" x14ac:dyDescent="0.25">
      <c r="B17" s="24"/>
      <c r="F17" s="25"/>
    </row>
    <row r="18" spans="2:19" x14ac:dyDescent="0.25">
      <c r="B18" s="24"/>
      <c r="C18" s="77" t="s">
        <v>191</v>
      </c>
      <c r="D18" s="64">
        <f>D4*D12</f>
        <v>22089.375</v>
      </c>
      <c r="E18" s="91" t="s">
        <v>101</v>
      </c>
      <c r="F18" s="25" t="s">
        <v>236</v>
      </c>
      <c r="O18" s="66">
        <f>Q18/25.4</f>
        <v>2.3622047244094491</v>
      </c>
      <c r="P18" t="s">
        <v>127</v>
      </c>
      <c r="Q18" s="68">
        <v>60</v>
      </c>
      <c r="R18" t="s">
        <v>89</v>
      </c>
      <c r="S18" t="s">
        <v>116</v>
      </c>
    </row>
    <row r="19" spans="2:19" x14ac:dyDescent="0.25">
      <c r="B19" s="24"/>
      <c r="C19" s="50" t="s">
        <v>192</v>
      </c>
      <c r="D19" s="65">
        <f>D18/D16</f>
        <v>23.515886287625417</v>
      </c>
      <c r="E19" s="76" t="s">
        <v>89</v>
      </c>
      <c r="F19" s="25" t="s">
        <v>237</v>
      </c>
      <c r="O19" s="13">
        <f>O11*O18</f>
        <v>0.44932545573752575</v>
      </c>
      <c r="P19" t="s">
        <v>129</v>
      </c>
      <c r="Q19" s="64">
        <f>Q11*Q18</f>
        <v>7363.125</v>
      </c>
      <c r="R19" t="s">
        <v>101</v>
      </c>
      <c r="S19" s="15" t="s">
        <v>117</v>
      </c>
    </row>
    <row r="20" spans="2:19" x14ac:dyDescent="0.25">
      <c r="B20" s="24"/>
      <c r="F20" s="25"/>
      <c r="O20" s="51">
        <f>O19/O16</f>
        <v>0.30860743159613413</v>
      </c>
      <c r="P20" t="s">
        <v>127</v>
      </c>
      <c r="Q20" s="65">
        <f>Q19/Q16</f>
        <v>7.8386287625418065</v>
      </c>
      <c r="R20" t="s">
        <v>89</v>
      </c>
      <c r="S20" s="15" t="s">
        <v>121</v>
      </c>
    </row>
    <row r="21" spans="2:19" x14ac:dyDescent="0.25">
      <c r="B21" s="24"/>
      <c r="C21" s="77" t="s">
        <v>193</v>
      </c>
      <c r="D21" s="12">
        <f>D9*(D19+D10)</f>
        <v>56.132408026755854</v>
      </c>
      <c r="E21" s="76" t="s">
        <v>124</v>
      </c>
      <c r="F21" s="25" t="s">
        <v>238</v>
      </c>
    </row>
    <row r="22" spans="2:19" x14ac:dyDescent="0.25">
      <c r="B22" s="24"/>
      <c r="C22" s="50" t="s">
        <v>194</v>
      </c>
      <c r="D22" s="51">
        <f>D21/D16</f>
        <v>5.9757386716816706E-2</v>
      </c>
      <c r="E22" s="76" t="s">
        <v>132</v>
      </c>
      <c r="F22" s="25" t="s">
        <v>239</v>
      </c>
      <c r="O22">
        <f>Q22*56</f>
        <v>114.24000000000001</v>
      </c>
      <c r="P22" t="s">
        <v>130</v>
      </c>
      <c r="Q22" s="68">
        <v>2.04</v>
      </c>
      <c r="R22" t="s">
        <v>123</v>
      </c>
      <c r="S22" t="s">
        <v>122</v>
      </c>
    </row>
    <row r="23" spans="2:19" x14ac:dyDescent="0.25">
      <c r="B23" s="281"/>
      <c r="C23" s="276" t="s">
        <v>195</v>
      </c>
      <c r="D23" s="277">
        <f>D22*1421.941</f>
        <v>84.971478225497066</v>
      </c>
      <c r="E23" s="278" t="s">
        <v>92</v>
      </c>
      <c r="F23" s="82" t="s">
        <v>198</v>
      </c>
      <c r="O23" s="13">
        <f>O20*O22</f>
        <v>35.255312985542368</v>
      </c>
      <c r="P23" s="15" t="s">
        <v>106</v>
      </c>
      <c r="Q23" s="12">
        <f>Q20*Q22</f>
        <v>15.990802675585286</v>
      </c>
      <c r="R23" t="s">
        <v>124</v>
      </c>
      <c r="S23" s="15" t="s">
        <v>125</v>
      </c>
    </row>
    <row r="24" spans="2:19" x14ac:dyDescent="0.25">
      <c r="B24" s="24"/>
      <c r="C24" s="50" t="s">
        <v>196</v>
      </c>
      <c r="D24" s="279">
        <f>D22*D12</f>
        <v>7.3333518011543504</v>
      </c>
      <c r="E24" s="280" t="s">
        <v>124</v>
      </c>
      <c r="F24" s="82" t="s">
        <v>199</v>
      </c>
      <c r="Q24" s="12"/>
    </row>
    <row r="25" spans="2:19" ht="15.75" thickBot="1" x14ac:dyDescent="0.3">
      <c r="B25" s="24"/>
      <c r="C25" s="50" t="s">
        <v>197</v>
      </c>
      <c r="D25" s="65">
        <f>D24*2.2046</f>
        <v>16.167107380824881</v>
      </c>
      <c r="E25" t="s">
        <v>106</v>
      </c>
      <c r="F25" s="25"/>
      <c r="Q25" s="13">
        <f>Q23/Q16</f>
        <v>1.7023473836037455E-2</v>
      </c>
      <c r="R25" t="s">
        <v>132</v>
      </c>
      <c r="S25" s="15" t="s">
        <v>126</v>
      </c>
    </row>
    <row r="26" spans="2:19" ht="15.75" thickBot="1" x14ac:dyDescent="0.3">
      <c r="B26" s="24"/>
      <c r="C26" s="77" t="s">
        <v>350</v>
      </c>
      <c r="D26" s="283">
        <f>D25*2</f>
        <v>32.334214761649761</v>
      </c>
      <c r="E26" s="73"/>
      <c r="F26" s="25"/>
      <c r="J26" s="12"/>
      <c r="O26" s="65">
        <f>O23/O16</f>
        <v>24.214189184379681</v>
      </c>
      <c r="P26" t="s">
        <v>92</v>
      </c>
      <c r="Q26" s="65">
        <f>Q25*O7</f>
        <v>24.206375409888935</v>
      </c>
      <c r="R26" t="s">
        <v>92</v>
      </c>
      <c r="S26" t="s">
        <v>136</v>
      </c>
    </row>
    <row r="27" spans="2:19" x14ac:dyDescent="0.25">
      <c r="B27" s="26"/>
      <c r="C27" s="47"/>
      <c r="D27" s="47"/>
      <c r="E27" s="47"/>
      <c r="F27" s="48"/>
      <c r="Q27" s="12">
        <f>Q25*Q11</f>
        <v>2.0890994298162213</v>
      </c>
      <c r="R27" t="s">
        <v>124</v>
      </c>
    </row>
    <row r="28" spans="2:19" x14ac:dyDescent="0.25">
      <c r="O28" s="70">
        <f>O26*O11</f>
        <v>4.6058885066814339</v>
      </c>
      <c r="P28" s="74" t="s">
        <v>142</v>
      </c>
      <c r="Q28" s="65">
        <f>Q27*2.2046</f>
        <v>4.6056286029728417</v>
      </c>
      <c r="R28" t="s">
        <v>106</v>
      </c>
      <c r="S28" t="s">
        <v>137</v>
      </c>
    </row>
    <row r="33" spans="2:13" x14ac:dyDescent="0.25">
      <c r="B33" s="102" t="s">
        <v>259</v>
      </c>
      <c r="K33" s="1" t="s">
        <v>39</v>
      </c>
    </row>
    <row r="34" spans="2:13" x14ac:dyDescent="0.25">
      <c r="C34" s="15"/>
      <c r="K34" t="s">
        <v>232</v>
      </c>
    </row>
    <row r="35" spans="2:13" x14ac:dyDescent="0.25">
      <c r="B35" s="24"/>
      <c r="C35" s="50" t="s">
        <v>197</v>
      </c>
      <c r="D35" s="51">
        <f>D9*(D4*D12/D16+D10)/D16*D12*2.2046</f>
        <v>16.167107380824881</v>
      </c>
      <c r="H35" s="15" t="s">
        <v>251</v>
      </c>
    </row>
    <row r="36" spans="2:13" x14ac:dyDescent="0.25">
      <c r="I36" t="s">
        <v>249</v>
      </c>
      <c r="J36" t="s">
        <v>254</v>
      </c>
      <c r="L36" t="s">
        <v>257</v>
      </c>
    </row>
    <row r="37" spans="2:13" x14ac:dyDescent="0.25">
      <c r="I37" t="s">
        <v>31</v>
      </c>
      <c r="J37" s="50" t="s">
        <v>34</v>
      </c>
    </row>
    <row r="38" spans="2:13" x14ac:dyDescent="0.25">
      <c r="H38" t="s">
        <v>252</v>
      </c>
      <c r="I38" t="s">
        <v>253</v>
      </c>
      <c r="M38" s="15" t="s">
        <v>255</v>
      </c>
    </row>
    <row r="39" spans="2:13" x14ac:dyDescent="0.25">
      <c r="H39" t="s">
        <v>256</v>
      </c>
      <c r="I39" s="50" t="s">
        <v>32</v>
      </c>
      <c r="M39" t="s">
        <v>258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A141F-7C3D-43F7-80CD-0E8FDD8CB1C8}">
  <sheetPr transitionEvaluation="1" transitionEntry="1" codeName="Sheet9"/>
  <dimension ref="A1:X53"/>
  <sheetViews>
    <sheetView showGridLines="0" zoomScale="90" zoomScaleNormal="90" workbookViewId="0">
      <selection activeCell="F4" sqref="F4"/>
    </sheetView>
  </sheetViews>
  <sheetFormatPr defaultRowHeight="15" x14ac:dyDescent="0.25"/>
  <cols>
    <col min="1" max="1" width="10.7109375" customWidth="1"/>
    <col min="2" max="5" width="8.42578125" customWidth="1"/>
    <col min="6" max="6" width="9.28515625" customWidth="1"/>
    <col min="7" max="10" width="8.42578125" customWidth="1"/>
    <col min="11" max="11" width="8.28515625" customWidth="1"/>
    <col min="12" max="20" width="8.5703125" customWidth="1"/>
    <col min="21" max="21" width="10.7109375" customWidth="1"/>
    <col min="22" max="22" width="14.7109375" customWidth="1"/>
    <col min="23" max="23" width="11.5703125" customWidth="1"/>
  </cols>
  <sheetData>
    <row r="1" spans="1:24" x14ac:dyDescent="0.25">
      <c r="J1" s="60" t="s">
        <v>414</v>
      </c>
    </row>
    <row r="2" spans="1:24" ht="15.75" thickBot="1" x14ac:dyDescent="0.3">
      <c r="A2" t="s">
        <v>140</v>
      </c>
      <c r="B2" s="81" t="s">
        <v>173</v>
      </c>
      <c r="C2" s="80"/>
      <c r="D2" s="80"/>
      <c r="E2" s="80"/>
      <c r="F2" s="80"/>
      <c r="G2" s="80"/>
      <c r="H2" s="73"/>
      <c r="J2" s="60" t="s">
        <v>415</v>
      </c>
      <c r="V2" t="s">
        <v>102</v>
      </c>
    </row>
    <row r="3" spans="1:24" x14ac:dyDescent="0.25">
      <c r="A3" s="60" t="s">
        <v>375</v>
      </c>
      <c r="B3" s="44"/>
      <c r="C3" s="45"/>
      <c r="D3" s="45"/>
      <c r="E3" s="45"/>
      <c r="F3" s="45"/>
      <c r="G3" s="45"/>
      <c r="H3" s="46"/>
      <c r="M3" s="259"/>
      <c r="N3" s="219"/>
      <c r="O3" s="219"/>
      <c r="P3" s="219"/>
      <c r="Q3" s="218"/>
      <c r="R3" s="218" t="s">
        <v>354</v>
      </c>
      <c r="S3" s="218" t="s">
        <v>355</v>
      </c>
      <c r="T3" s="240" t="s">
        <v>361</v>
      </c>
      <c r="V3">
        <v>101.3069</v>
      </c>
      <c r="W3" t="s">
        <v>105</v>
      </c>
      <c r="X3" s="15" t="s">
        <v>103</v>
      </c>
    </row>
    <row r="4" spans="1:24" x14ac:dyDescent="0.25">
      <c r="B4" s="24"/>
      <c r="C4" s="62"/>
      <c r="E4" s="50" t="s">
        <v>159</v>
      </c>
      <c r="F4" s="62">
        <v>180</v>
      </c>
      <c r="G4" s="76" t="s">
        <v>89</v>
      </c>
      <c r="H4" s="25" t="s">
        <v>160</v>
      </c>
      <c r="M4" s="221"/>
      <c r="N4" s="1" t="s">
        <v>249</v>
      </c>
      <c r="O4" s="1" t="s">
        <v>357</v>
      </c>
      <c r="P4" s="1" t="s">
        <v>358</v>
      </c>
      <c r="Q4" s="1" t="s">
        <v>356</v>
      </c>
      <c r="R4" s="249" t="s">
        <v>413</v>
      </c>
      <c r="S4" s="249" t="s">
        <v>413</v>
      </c>
      <c r="T4" s="255" t="s">
        <v>413</v>
      </c>
      <c r="V4">
        <v>15.702999999999999</v>
      </c>
      <c r="W4" t="s">
        <v>106</v>
      </c>
      <c r="X4" s="15" t="s">
        <v>104</v>
      </c>
    </row>
    <row r="5" spans="1:24" x14ac:dyDescent="0.25">
      <c r="B5" s="24"/>
      <c r="C5" s="62"/>
      <c r="E5" s="77" t="s">
        <v>147</v>
      </c>
      <c r="F5" s="68">
        <v>1005.1</v>
      </c>
      <c r="G5" s="76" t="s">
        <v>86</v>
      </c>
      <c r="H5" s="25" t="s">
        <v>349</v>
      </c>
      <c r="M5" s="221"/>
      <c r="N5" s="1">
        <v>60</v>
      </c>
      <c r="O5" s="6">
        <v>2</v>
      </c>
      <c r="P5" s="6">
        <v>1</v>
      </c>
      <c r="Q5" s="6">
        <v>1E-3</v>
      </c>
      <c r="R5" s="6">
        <v>17.75</v>
      </c>
      <c r="S5" s="6">
        <v>17.63</v>
      </c>
      <c r="T5" s="256">
        <v>17.75</v>
      </c>
      <c r="V5" s="51">
        <f>V4/V3</f>
        <v>0.15500424946375815</v>
      </c>
      <c r="W5" t="s">
        <v>107</v>
      </c>
    </row>
    <row r="6" spans="1:24" x14ac:dyDescent="0.25">
      <c r="B6" s="24"/>
      <c r="E6" s="50" t="s">
        <v>351</v>
      </c>
      <c r="F6" s="62">
        <v>0</v>
      </c>
      <c r="H6" s="215">
        <v>1.62</v>
      </c>
      <c r="M6" s="221"/>
      <c r="N6" s="1">
        <v>120</v>
      </c>
      <c r="O6" s="6">
        <v>2</v>
      </c>
      <c r="P6" s="6">
        <v>1</v>
      </c>
      <c r="Q6" s="6">
        <v>1E-3</v>
      </c>
      <c r="R6" s="6">
        <v>45.25</v>
      </c>
      <c r="S6" s="6">
        <v>45.07</v>
      </c>
      <c r="T6" s="256">
        <v>45.25</v>
      </c>
      <c r="V6">
        <v>1.5499999999999999E-3</v>
      </c>
      <c r="W6" t="s">
        <v>131</v>
      </c>
    </row>
    <row r="7" spans="1:24" x14ac:dyDescent="0.25">
      <c r="B7" s="24"/>
      <c r="E7" s="77" t="s">
        <v>148</v>
      </c>
      <c r="F7" s="68">
        <v>330</v>
      </c>
      <c r="G7" s="76" t="s">
        <v>86</v>
      </c>
      <c r="H7" s="25" t="s">
        <v>154</v>
      </c>
      <c r="M7" s="223" t="s">
        <v>359</v>
      </c>
      <c r="N7" s="216">
        <v>180</v>
      </c>
      <c r="O7" s="167">
        <v>2</v>
      </c>
      <c r="P7" s="167">
        <v>1</v>
      </c>
      <c r="Q7" s="167">
        <v>1E-3</v>
      </c>
      <c r="R7" s="167">
        <v>93.54</v>
      </c>
      <c r="S7" s="167">
        <v>93.58</v>
      </c>
      <c r="T7" s="257">
        <v>93.54</v>
      </c>
      <c r="V7" s="67">
        <v>6.1023700000000003E-5</v>
      </c>
      <c r="W7" s="15" t="s">
        <v>134</v>
      </c>
    </row>
    <row r="8" spans="1:24" x14ac:dyDescent="0.25">
      <c r="B8" s="24"/>
      <c r="E8" s="77" t="s">
        <v>204</v>
      </c>
      <c r="F8" s="68">
        <v>5.01</v>
      </c>
      <c r="G8" s="76" t="s">
        <v>89</v>
      </c>
      <c r="H8" s="25" t="s">
        <v>144</v>
      </c>
      <c r="M8" s="221"/>
      <c r="N8" s="1">
        <v>240</v>
      </c>
      <c r="O8" s="6">
        <v>2</v>
      </c>
      <c r="P8" s="6">
        <v>1</v>
      </c>
      <c r="Q8" s="6">
        <v>1E-3</v>
      </c>
      <c r="R8" s="6">
        <v>200.54</v>
      </c>
      <c r="S8" s="6">
        <v>202.82</v>
      </c>
      <c r="T8" s="256">
        <v>200.54</v>
      </c>
      <c r="V8">
        <v>1421.941</v>
      </c>
      <c r="W8" s="15" t="s">
        <v>133</v>
      </c>
    </row>
    <row r="9" spans="1:24" ht="15.75" thickBot="1" x14ac:dyDescent="0.3">
      <c r="B9" s="24"/>
      <c r="E9" s="77" t="s">
        <v>205</v>
      </c>
      <c r="F9" s="68">
        <v>23.9</v>
      </c>
      <c r="G9" s="76" t="s">
        <v>143</v>
      </c>
      <c r="H9" s="25" t="s">
        <v>145</v>
      </c>
      <c r="M9" s="224" t="s">
        <v>360</v>
      </c>
      <c r="N9" s="238">
        <v>260</v>
      </c>
      <c r="O9" s="237">
        <v>2</v>
      </c>
      <c r="P9" s="237">
        <v>1</v>
      </c>
      <c r="Q9" s="237">
        <v>1E-3</v>
      </c>
      <c r="R9" s="237">
        <v>272.45999999999998</v>
      </c>
      <c r="S9" s="237">
        <v>277.92</v>
      </c>
      <c r="T9" s="260">
        <v>272.45999999999998</v>
      </c>
      <c r="V9">
        <v>56</v>
      </c>
      <c r="W9" t="s">
        <v>135</v>
      </c>
    </row>
    <row r="10" spans="1:24" ht="15.75" thickBot="1" x14ac:dyDescent="0.3">
      <c r="B10" s="24"/>
      <c r="E10" s="77" t="s">
        <v>206</v>
      </c>
      <c r="F10" s="68">
        <v>43.8</v>
      </c>
      <c r="G10" s="76" t="s">
        <v>89</v>
      </c>
      <c r="H10" s="25" t="s">
        <v>146</v>
      </c>
      <c r="N10" s="1"/>
      <c r="O10" s="1"/>
      <c r="P10" s="1"/>
      <c r="Q10" s="1"/>
      <c r="R10" s="1"/>
    </row>
    <row r="11" spans="1:24" x14ac:dyDescent="0.25">
      <c r="B11" s="24" t="s">
        <v>352</v>
      </c>
      <c r="E11" s="77" t="s">
        <v>228</v>
      </c>
      <c r="F11" s="68">
        <v>48</v>
      </c>
      <c r="G11" s="76" t="s">
        <v>89</v>
      </c>
      <c r="H11" s="25"/>
      <c r="M11" s="217"/>
      <c r="N11" s="218"/>
      <c r="O11" s="219"/>
      <c r="P11" s="219"/>
      <c r="Q11" s="218"/>
      <c r="R11" s="218" t="s">
        <v>354</v>
      </c>
      <c r="S11" s="218" t="s">
        <v>355</v>
      </c>
      <c r="T11" s="240" t="s">
        <v>361</v>
      </c>
    </row>
    <row r="12" spans="1:24" x14ac:dyDescent="0.25">
      <c r="B12" s="24"/>
      <c r="H12" s="25"/>
      <c r="M12" s="221"/>
      <c r="N12" s="1" t="s">
        <v>249</v>
      </c>
      <c r="O12" s="1" t="s">
        <v>357</v>
      </c>
      <c r="P12" s="1" t="s">
        <v>357</v>
      </c>
      <c r="Q12" s="1" t="s">
        <v>356</v>
      </c>
      <c r="R12" s="249" t="s">
        <v>413</v>
      </c>
      <c r="S12" s="249" t="s">
        <v>413</v>
      </c>
      <c r="T12" s="255" t="s">
        <v>413</v>
      </c>
    </row>
    <row r="13" spans="1:24" x14ac:dyDescent="0.25">
      <c r="B13" s="24"/>
      <c r="D13" s="77" t="s">
        <v>353</v>
      </c>
      <c r="E13" s="77" t="s">
        <v>149</v>
      </c>
      <c r="F13" s="65">
        <f>(F10-F8)*3.1416*(F9+F14)</f>
        <v>3156.2429975999999</v>
      </c>
      <c r="G13" s="76" t="s">
        <v>89</v>
      </c>
      <c r="H13" s="82" t="s">
        <v>155</v>
      </c>
      <c r="M13" s="221"/>
      <c r="N13" s="1">
        <v>60</v>
      </c>
      <c r="O13" s="6">
        <v>2</v>
      </c>
      <c r="P13" s="6">
        <v>1.32</v>
      </c>
      <c r="Q13" s="6">
        <v>80</v>
      </c>
      <c r="R13" s="6">
        <v>24.21</v>
      </c>
      <c r="S13" s="6">
        <v>22.2</v>
      </c>
      <c r="T13" s="256">
        <v>24.21</v>
      </c>
    </row>
    <row r="14" spans="1:24" x14ac:dyDescent="0.25">
      <c r="B14" s="24"/>
      <c r="E14" s="50" t="s">
        <v>351</v>
      </c>
      <c r="F14" s="62">
        <v>2</v>
      </c>
      <c r="H14" s="215">
        <v>2.6749999999999998</v>
      </c>
      <c r="M14" s="221"/>
      <c r="N14" s="1">
        <v>120</v>
      </c>
      <c r="O14" s="6">
        <v>2</v>
      </c>
      <c r="P14" s="6">
        <v>1.32</v>
      </c>
      <c r="Q14" s="6">
        <v>80</v>
      </c>
      <c r="R14" s="6">
        <v>64.44</v>
      </c>
      <c r="S14" s="6">
        <v>63.12</v>
      </c>
      <c r="T14" s="256">
        <v>64.44</v>
      </c>
    </row>
    <row r="15" spans="1:24" x14ac:dyDescent="0.25">
      <c r="B15" s="24"/>
      <c r="E15" s="77" t="s">
        <v>150</v>
      </c>
      <c r="F15" s="65">
        <f>F13*(F8/2)^2*3.1416/1000</f>
        <v>62.22097047423253</v>
      </c>
      <c r="G15" s="76" t="s">
        <v>86</v>
      </c>
      <c r="H15" s="25" t="s">
        <v>157</v>
      </c>
      <c r="M15" s="223" t="s">
        <v>359</v>
      </c>
      <c r="N15" s="216">
        <v>180</v>
      </c>
      <c r="O15" s="167">
        <v>2</v>
      </c>
      <c r="P15" s="167">
        <v>1.32</v>
      </c>
      <c r="Q15" s="167">
        <v>80</v>
      </c>
      <c r="R15" s="167">
        <v>141.86000000000001</v>
      </c>
      <c r="S15" s="167">
        <v>141.22</v>
      </c>
      <c r="T15" s="257">
        <v>141.86000000000001</v>
      </c>
    </row>
    <row r="16" spans="1:24" x14ac:dyDescent="0.25">
      <c r="B16" s="24"/>
      <c r="E16" s="77" t="s">
        <v>210</v>
      </c>
      <c r="F16" s="65">
        <f>(F11/2)^2*3.1416/100</f>
        <v>18.095616</v>
      </c>
      <c r="G16" s="76" t="s">
        <v>100</v>
      </c>
      <c r="H16" s="25" t="s">
        <v>211</v>
      </c>
      <c r="M16" s="221"/>
      <c r="N16" s="1">
        <v>240</v>
      </c>
      <c r="O16" s="6">
        <v>2</v>
      </c>
      <c r="P16" s="6">
        <v>1.32</v>
      </c>
      <c r="Q16" s="6">
        <v>80</v>
      </c>
      <c r="R16" s="6">
        <v>337.45</v>
      </c>
      <c r="S16" s="6">
        <v>338.87</v>
      </c>
      <c r="T16" s="256">
        <v>337.45</v>
      </c>
    </row>
    <row r="17" spans="1:22" ht="15.75" thickBot="1" x14ac:dyDescent="0.3">
      <c r="B17" s="24"/>
      <c r="F17" s="65"/>
      <c r="H17" s="25"/>
      <c r="M17" s="224" t="s">
        <v>360</v>
      </c>
      <c r="N17" s="225">
        <v>280</v>
      </c>
      <c r="O17" s="226">
        <v>2</v>
      </c>
      <c r="P17" s="226">
        <v>1.32</v>
      </c>
      <c r="Q17" s="226">
        <v>80</v>
      </c>
      <c r="R17" s="226">
        <v>483.75</v>
      </c>
      <c r="S17" s="226">
        <v>487.59</v>
      </c>
      <c r="T17" s="258">
        <v>483.75</v>
      </c>
    </row>
    <row r="18" spans="1:22" ht="15.75" thickBot="1" x14ac:dyDescent="0.3">
      <c r="B18" s="24"/>
      <c r="E18" s="77" t="s">
        <v>152</v>
      </c>
      <c r="F18" s="65">
        <f>(F5+F6)-F7-F15</f>
        <v>612.87902952576746</v>
      </c>
      <c r="G18" s="76" t="s">
        <v>86</v>
      </c>
      <c r="H18" s="25" t="s">
        <v>163</v>
      </c>
      <c r="V18" t="s">
        <v>423</v>
      </c>
    </row>
    <row r="19" spans="1:22" x14ac:dyDescent="0.25">
      <c r="B19" s="24"/>
      <c r="E19" s="50" t="s">
        <v>158</v>
      </c>
      <c r="F19" s="65">
        <f>(F4/10)*F16</f>
        <v>325.72108800000001</v>
      </c>
      <c r="G19" s="76" t="s">
        <v>86</v>
      </c>
      <c r="H19" s="25" t="s">
        <v>172</v>
      </c>
      <c r="M19" s="217"/>
      <c r="N19" s="218"/>
      <c r="O19" s="219"/>
      <c r="P19" s="219"/>
      <c r="Q19" s="218"/>
      <c r="R19" s="218" t="s">
        <v>354</v>
      </c>
      <c r="S19" s="218" t="s">
        <v>355</v>
      </c>
      <c r="T19" s="240" t="s">
        <v>361</v>
      </c>
    </row>
    <row r="20" spans="1:22" x14ac:dyDescent="0.25">
      <c r="B20" s="24"/>
      <c r="E20" s="77" t="s">
        <v>164</v>
      </c>
      <c r="F20" s="65">
        <f>F18-F19</f>
        <v>287.15794152576746</v>
      </c>
      <c r="G20" s="76" t="s">
        <v>86</v>
      </c>
      <c r="H20" s="25" t="s">
        <v>212</v>
      </c>
      <c r="M20" s="221"/>
      <c r="N20" s="1" t="s">
        <v>249</v>
      </c>
      <c r="O20" s="1" t="s">
        <v>357</v>
      </c>
      <c r="P20" s="1" t="s">
        <v>357</v>
      </c>
      <c r="Q20" s="1" t="s">
        <v>356</v>
      </c>
      <c r="R20" s="249" t="s">
        <v>413</v>
      </c>
      <c r="S20" s="249" t="s">
        <v>413</v>
      </c>
      <c r="T20" s="255" t="s">
        <v>413</v>
      </c>
    </row>
    <row r="21" spans="1:22" x14ac:dyDescent="0.25">
      <c r="B21" s="24"/>
      <c r="F21" s="65"/>
      <c r="H21" s="215"/>
      <c r="M21" s="221"/>
      <c r="N21" s="4">
        <f>N5*1.111</f>
        <v>66.66</v>
      </c>
      <c r="O21" s="6">
        <v>2</v>
      </c>
      <c r="P21" s="6">
        <v>1.32</v>
      </c>
      <c r="Q21" s="6">
        <v>80</v>
      </c>
      <c r="R21" s="6">
        <v>27.67</v>
      </c>
      <c r="S21" s="6">
        <v>25.94</v>
      </c>
      <c r="T21" s="256">
        <v>24.21</v>
      </c>
    </row>
    <row r="22" spans="1:22" x14ac:dyDescent="0.25">
      <c r="B22" s="24"/>
      <c r="E22" s="77" t="s">
        <v>348</v>
      </c>
      <c r="F22" s="62">
        <v>1.32</v>
      </c>
      <c r="H22" s="215">
        <v>1.32</v>
      </c>
      <c r="M22" s="221"/>
      <c r="N22" s="4">
        <f>N6*1.111</f>
        <v>133.32</v>
      </c>
      <c r="O22" s="6">
        <v>2</v>
      </c>
      <c r="P22" s="6">
        <v>1.32</v>
      </c>
      <c r="Q22" s="6">
        <v>80</v>
      </c>
      <c r="R22" s="6">
        <v>77.14</v>
      </c>
      <c r="S22" s="6">
        <v>76.47</v>
      </c>
      <c r="T22" s="256">
        <v>64.44</v>
      </c>
    </row>
    <row r="23" spans="1:22" x14ac:dyDescent="0.25">
      <c r="B23" s="24"/>
      <c r="E23" s="77" t="s">
        <v>165</v>
      </c>
      <c r="F23" s="65">
        <f>14.7*(F18/F20)^F22</f>
        <v>39.98826141800626</v>
      </c>
      <c r="G23" s="76" t="s">
        <v>92</v>
      </c>
      <c r="H23" s="25" t="s">
        <v>218</v>
      </c>
      <c r="M23" s="223" t="s">
        <v>416</v>
      </c>
      <c r="N23" s="261">
        <f>N7*1.111</f>
        <v>199.98</v>
      </c>
      <c r="O23" s="167">
        <v>2</v>
      </c>
      <c r="P23" s="167">
        <v>1.32</v>
      </c>
      <c r="Q23" s="167">
        <v>80</v>
      </c>
      <c r="R23" s="167">
        <v>185.46</v>
      </c>
      <c r="S23" s="167">
        <v>185.29</v>
      </c>
      <c r="T23" s="257">
        <v>141.86000000000001</v>
      </c>
    </row>
    <row r="24" spans="1:22" x14ac:dyDescent="0.25">
      <c r="B24" s="24"/>
      <c r="E24" s="50" t="s">
        <v>167</v>
      </c>
      <c r="F24" s="65">
        <f>F23-14.7</f>
        <v>25.288261418006261</v>
      </c>
      <c r="G24" s="76" t="s">
        <v>92</v>
      </c>
      <c r="H24" s="25" t="s">
        <v>170</v>
      </c>
      <c r="M24" s="221"/>
      <c r="N24" s="4">
        <f>N8*1.111</f>
        <v>266.64</v>
      </c>
      <c r="O24" s="6">
        <v>2</v>
      </c>
      <c r="P24" s="6">
        <v>1.32</v>
      </c>
      <c r="Q24" s="6">
        <v>80</v>
      </c>
      <c r="R24" s="6">
        <v>553.63</v>
      </c>
      <c r="S24" s="6">
        <v>577.5</v>
      </c>
      <c r="T24" s="256">
        <v>337.45</v>
      </c>
    </row>
    <row r="25" spans="1:22" ht="15.75" thickBot="1" x14ac:dyDescent="0.3">
      <c r="B25" s="24"/>
      <c r="H25" s="25"/>
      <c r="M25" s="224"/>
      <c r="N25" s="262">
        <f>N9*1.111</f>
        <v>288.86</v>
      </c>
      <c r="O25" s="226">
        <v>2</v>
      </c>
      <c r="P25" s="226">
        <v>1.32</v>
      </c>
      <c r="Q25" s="226">
        <v>80</v>
      </c>
      <c r="R25" s="226">
        <v>952.47</v>
      </c>
      <c r="S25" s="226">
        <v>1013.34</v>
      </c>
      <c r="T25" s="258">
        <v>483.75</v>
      </c>
    </row>
    <row r="26" spans="1:22" ht="15.75" thickBot="1" x14ac:dyDescent="0.3">
      <c r="B26" s="78" t="s">
        <v>171</v>
      </c>
      <c r="E26" s="77" t="s">
        <v>169</v>
      </c>
      <c r="F26" s="252">
        <f>F24*F16*0.155</f>
        <v>70.929033528817797</v>
      </c>
      <c r="G26" t="s">
        <v>106</v>
      </c>
      <c r="H26" s="25" t="s">
        <v>220</v>
      </c>
    </row>
    <row r="27" spans="1:22" ht="15.75" thickBot="1" x14ac:dyDescent="0.3">
      <c r="A27" s="60" t="s">
        <v>363</v>
      </c>
      <c r="B27" s="24"/>
      <c r="E27" s="77" t="s">
        <v>350</v>
      </c>
      <c r="F27" s="253">
        <f>F26*2</f>
        <v>141.85806705763559</v>
      </c>
      <c r="G27" s="254"/>
      <c r="H27" s="25"/>
    </row>
    <row r="28" spans="1:22" x14ac:dyDescent="0.25">
      <c r="A28" s="60" t="s">
        <v>362</v>
      </c>
      <c r="B28" s="26"/>
      <c r="C28" s="47"/>
      <c r="D28" s="47"/>
      <c r="E28" s="47"/>
      <c r="F28" s="79"/>
      <c r="G28" s="47"/>
      <c r="H28" s="48"/>
    </row>
    <row r="30" spans="1:22" ht="20.100000000000001" customHeight="1" x14ac:dyDescent="0.25"/>
    <row r="31" spans="1:22" ht="20.100000000000001" customHeight="1" x14ac:dyDescent="0.25">
      <c r="A31" s="270">
        <f>14.7*(F18/F20)^F22-14.7</f>
        <v>25.288261418006261</v>
      </c>
      <c r="B31" s="45"/>
      <c r="C31" s="271" t="s">
        <v>165</v>
      </c>
      <c r="D31" s="272" t="s">
        <v>366</v>
      </c>
      <c r="E31" s="45"/>
      <c r="F31" s="45"/>
      <c r="G31" s="45"/>
      <c r="H31" s="45"/>
      <c r="I31" s="45"/>
      <c r="J31" s="45"/>
      <c r="K31" s="46"/>
    </row>
    <row r="32" spans="1:22" ht="20.100000000000001" customHeight="1" x14ac:dyDescent="0.25">
      <c r="A32" s="24"/>
      <c r="G32" s="50" t="s">
        <v>167</v>
      </c>
      <c r="H32" s="15" t="s">
        <v>365</v>
      </c>
      <c r="K32" s="25"/>
    </row>
    <row r="33" spans="1:23" ht="20.100000000000001" customHeight="1" x14ac:dyDescent="0.25">
      <c r="A33" s="26"/>
      <c r="B33" s="47"/>
      <c r="C33" s="47"/>
      <c r="D33" s="47"/>
      <c r="E33" s="47"/>
      <c r="F33" s="47"/>
      <c r="G33" s="273" t="s">
        <v>169</v>
      </c>
      <c r="H33" s="274" t="s">
        <v>364</v>
      </c>
      <c r="I33" s="47"/>
      <c r="J33" s="47"/>
      <c r="K33" s="48"/>
    </row>
    <row r="34" spans="1:23" ht="20.100000000000001" customHeight="1" x14ac:dyDescent="0.25"/>
    <row r="35" spans="1:23" ht="20.100000000000001" customHeight="1" x14ac:dyDescent="0.25"/>
    <row r="36" spans="1:23" ht="20.100000000000001" customHeight="1" x14ac:dyDescent="0.25">
      <c r="A36" s="270">
        <f>(14.7*(F18/F20)^F22-14.7)*F16*0.155</f>
        <v>70.929033528817797</v>
      </c>
      <c r="B36" s="272" t="s">
        <v>419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6"/>
    </row>
    <row r="37" spans="1:23" ht="20.100000000000001" customHeight="1" x14ac:dyDescent="0.25">
      <c r="A37" s="26"/>
      <c r="B37" s="47"/>
      <c r="C37" s="275" t="s">
        <v>417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8"/>
      <c r="O37" s="227"/>
      <c r="P37" s="228"/>
      <c r="R37" s="229"/>
      <c r="S37" s="106"/>
      <c r="T37" s="106"/>
      <c r="V37" s="228"/>
      <c r="W37" s="106"/>
    </row>
    <row r="38" spans="1:23" ht="20.100000000000001" customHeight="1" x14ac:dyDescent="0.25">
      <c r="B38" s="227"/>
      <c r="C38" s="228"/>
      <c r="E38" s="229"/>
      <c r="F38" s="106"/>
      <c r="G38" s="106"/>
      <c r="I38" s="228"/>
      <c r="J38" s="106"/>
    </row>
    <row r="39" spans="1:23" ht="15.75" thickBot="1" x14ac:dyDescent="0.3"/>
    <row r="40" spans="1:23" x14ac:dyDescent="0.25">
      <c r="A40" s="217" t="s">
        <v>422</v>
      </c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20"/>
    </row>
    <row r="41" spans="1:23" x14ac:dyDescent="0.25">
      <c r="A41" s="263">
        <f>(14.7*(F18/(F18-(F4/10)*F16))^F22-14.7)*F16*0.155</f>
        <v>70.929033528817797</v>
      </c>
      <c r="F41" s="230" t="s">
        <v>368</v>
      </c>
      <c r="Q41" s="222"/>
    </row>
    <row r="42" spans="1:23" x14ac:dyDescent="0.25">
      <c r="A42" s="231" t="s">
        <v>420</v>
      </c>
      <c r="Q42" s="222"/>
    </row>
    <row r="43" spans="1:23" x14ac:dyDescent="0.25">
      <c r="A43" s="221"/>
      <c r="B43" s="228" t="s">
        <v>418</v>
      </c>
      <c r="Q43" s="222"/>
    </row>
    <row r="44" spans="1:23" x14ac:dyDescent="0.25">
      <c r="A44" s="221"/>
      <c r="B44" s="60"/>
      <c r="C44" s="60"/>
      <c r="D44" s="266" t="s">
        <v>421</v>
      </c>
      <c r="E44" s="266"/>
      <c r="F44" s="266"/>
      <c r="G44" s="266"/>
      <c r="H44" s="266"/>
      <c r="I44" s="266"/>
      <c r="J44" s="266"/>
      <c r="K44" s="266"/>
      <c r="L44" s="266"/>
      <c r="M44" s="266"/>
      <c r="N44" s="266"/>
      <c r="O44" s="266"/>
      <c r="Q44" s="222"/>
    </row>
    <row r="45" spans="1:23" ht="15.75" thickBot="1" x14ac:dyDescent="0.3">
      <c r="A45" s="232"/>
      <c r="B45" s="233"/>
      <c r="C45" s="233"/>
      <c r="D45" s="267"/>
      <c r="E45" s="268"/>
      <c r="F45" s="269"/>
      <c r="G45" s="267"/>
      <c r="H45" s="267"/>
      <c r="I45" s="268"/>
      <c r="J45" s="269"/>
      <c r="K45" s="267"/>
      <c r="L45" s="268"/>
      <c r="M45" s="233"/>
      <c r="N45" s="233"/>
      <c r="O45" s="233"/>
      <c r="P45" s="233"/>
      <c r="Q45" s="234"/>
    </row>
    <row r="46" spans="1:23" ht="15.75" thickBot="1" x14ac:dyDescent="0.3"/>
    <row r="47" spans="1:23" x14ac:dyDescent="0.25">
      <c r="A47" s="264">
        <f>(F18-(F4/10)*F16)</f>
        <v>287.15794152576746</v>
      </c>
      <c r="B47" s="219"/>
      <c r="C47" s="219"/>
      <c r="D47" s="219"/>
      <c r="E47" s="219"/>
      <c r="F47" s="219"/>
      <c r="G47" s="265" t="s">
        <v>368</v>
      </c>
      <c r="H47" s="219"/>
      <c r="I47" s="220"/>
    </row>
    <row r="48" spans="1:23" x14ac:dyDescent="0.25">
      <c r="A48" s="221"/>
      <c r="E48" s="15" t="s">
        <v>373</v>
      </c>
      <c r="I48" s="222"/>
    </row>
    <row r="49" spans="1:12" ht="15.75" thickBot="1" x14ac:dyDescent="0.3">
      <c r="A49" s="232"/>
      <c r="B49" s="233"/>
      <c r="C49" s="233"/>
      <c r="D49" s="233"/>
      <c r="E49" s="233"/>
      <c r="F49" s="233"/>
      <c r="G49" s="233"/>
      <c r="H49" s="233"/>
      <c r="I49" s="234"/>
    </row>
    <row r="51" spans="1:12" x14ac:dyDescent="0.25">
      <c r="B51" s="15"/>
    </row>
    <row r="52" spans="1:12" x14ac:dyDescent="0.25">
      <c r="A52" s="227">
        <v>14.7</v>
      </c>
      <c r="B52" s="228" t="s">
        <v>367</v>
      </c>
      <c r="D52" s="228" t="s">
        <v>370</v>
      </c>
      <c r="E52" s="228" t="s">
        <v>371</v>
      </c>
      <c r="G52" s="229" t="s">
        <v>374</v>
      </c>
      <c r="H52" s="106" t="s">
        <v>372</v>
      </c>
      <c r="I52" s="106">
        <v>14.7</v>
      </c>
      <c r="K52" s="230" t="s">
        <v>374</v>
      </c>
      <c r="L52" s="106" t="s">
        <v>369</v>
      </c>
    </row>
    <row r="53" spans="1:12" x14ac:dyDescent="0.25">
      <c r="C53" s="16"/>
      <c r="D53" s="16"/>
      <c r="E53" s="16"/>
      <c r="F53" s="16"/>
      <c r="G53" s="16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B78DD-535B-463F-B31A-D440E4C11B61}">
  <sheetPr transitionEvaluation="1" transitionEntry="1" codeName="Sheet10"/>
  <dimension ref="A2:Q28"/>
  <sheetViews>
    <sheetView showGridLines="0" zoomScale="90" zoomScaleNormal="90" workbookViewId="0"/>
  </sheetViews>
  <sheetFormatPr defaultRowHeight="15" x14ac:dyDescent="0.25"/>
  <cols>
    <col min="1" max="6" width="11.7109375" customWidth="1"/>
    <col min="7" max="7" width="11.5703125" customWidth="1"/>
    <col min="8" max="11" width="11.7109375" customWidth="1"/>
    <col min="12" max="12" width="7.42578125" customWidth="1"/>
    <col min="13" max="14" width="11.7109375" customWidth="1"/>
    <col min="15" max="16" width="16.140625" customWidth="1"/>
    <col min="17" max="24" width="11.7109375" customWidth="1"/>
  </cols>
  <sheetData>
    <row r="2" spans="1:17" x14ac:dyDescent="0.25">
      <c r="A2" t="s">
        <v>140</v>
      </c>
      <c r="B2" s="81" t="s">
        <v>173</v>
      </c>
      <c r="C2" s="80"/>
      <c r="D2" s="80"/>
      <c r="E2" s="80"/>
      <c r="F2" s="80"/>
      <c r="G2" s="80"/>
      <c r="H2" s="73"/>
      <c r="K2" t="s">
        <v>85</v>
      </c>
    </row>
    <row r="3" spans="1:17" x14ac:dyDescent="0.25">
      <c r="A3" t="s">
        <v>375</v>
      </c>
      <c r="B3" s="44"/>
      <c r="C3" s="45"/>
      <c r="D3" s="45"/>
      <c r="E3" s="45"/>
      <c r="F3" s="45"/>
      <c r="G3" s="45"/>
      <c r="H3" s="46"/>
    </row>
    <row r="4" spans="1:17" x14ac:dyDescent="0.25">
      <c r="B4" s="24"/>
      <c r="C4" s="62"/>
      <c r="E4" s="50" t="s">
        <v>159</v>
      </c>
      <c r="F4" s="62">
        <v>60</v>
      </c>
      <c r="G4" s="76" t="s">
        <v>89</v>
      </c>
      <c r="H4" s="25" t="s">
        <v>160</v>
      </c>
      <c r="O4" t="s">
        <v>102</v>
      </c>
    </row>
    <row r="5" spans="1:17" x14ac:dyDescent="0.25">
      <c r="B5" s="24"/>
      <c r="C5" s="62"/>
      <c r="H5" s="25"/>
      <c r="O5">
        <v>101.3069</v>
      </c>
      <c r="P5" t="s">
        <v>105</v>
      </c>
      <c r="Q5" s="15" t="s">
        <v>103</v>
      </c>
    </row>
    <row r="6" spans="1:17" x14ac:dyDescent="0.25">
      <c r="B6" s="24"/>
      <c r="E6" s="77" t="s">
        <v>147</v>
      </c>
      <c r="F6" s="68">
        <v>1065.0999999999999</v>
      </c>
      <c r="G6" s="76" t="s">
        <v>86</v>
      </c>
      <c r="H6" s="25" t="s">
        <v>153</v>
      </c>
      <c r="J6" s="62">
        <v>1065.0999999999999</v>
      </c>
      <c r="K6" s="68">
        <v>1065.0999999999999</v>
      </c>
      <c r="L6" s="15" t="s">
        <v>87</v>
      </c>
      <c r="M6" s="15" t="s">
        <v>109</v>
      </c>
      <c r="O6">
        <v>15.702999999999999</v>
      </c>
      <c r="P6" t="s">
        <v>106</v>
      </c>
      <c r="Q6" s="15" t="s">
        <v>104</v>
      </c>
    </row>
    <row r="7" spans="1:17" x14ac:dyDescent="0.25">
      <c r="B7" s="24"/>
      <c r="E7" s="77" t="s">
        <v>148</v>
      </c>
      <c r="F7" s="68">
        <v>340</v>
      </c>
      <c r="G7" s="76" t="s">
        <v>86</v>
      </c>
      <c r="H7" s="25" t="s">
        <v>154</v>
      </c>
      <c r="K7" s="69">
        <v>-340</v>
      </c>
      <c r="L7" t="s">
        <v>86</v>
      </c>
      <c r="M7" s="15" t="s">
        <v>88</v>
      </c>
      <c r="O7" s="51">
        <f>O6/O5</f>
        <v>0.15500424946375815</v>
      </c>
      <c r="P7" t="s">
        <v>107</v>
      </c>
    </row>
    <row r="8" spans="1:17" x14ac:dyDescent="0.25">
      <c r="B8" s="24"/>
      <c r="E8" s="77" t="s">
        <v>204</v>
      </c>
      <c r="F8" s="68">
        <v>5.1100000000000003</v>
      </c>
      <c r="G8" s="76" t="s">
        <v>89</v>
      </c>
      <c r="H8" s="25" t="s">
        <v>144</v>
      </c>
      <c r="K8">
        <f>SUM(K6:K7)</f>
        <v>725.09999999999991</v>
      </c>
    </row>
    <row r="9" spans="1:17" x14ac:dyDescent="0.25">
      <c r="B9" s="24"/>
      <c r="E9" s="77" t="s">
        <v>205</v>
      </c>
      <c r="F9" s="68">
        <v>26</v>
      </c>
      <c r="G9" s="76" t="s">
        <v>143</v>
      </c>
      <c r="H9" s="25" t="s">
        <v>145</v>
      </c>
      <c r="K9" s="69">
        <v>-68.7</v>
      </c>
      <c r="M9" s="15" t="s">
        <v>139</v>
      </c>
      <c r="O9">
        <v>1.5499999999999999E-3</v>
      </c>
      <c r="P9" t="s">
        <v>131</v>
      </c>
    </row>
    <row r="10" spans="1:17" x14ac:dyDescent="0.25">
      <c r="B10" s="24"/>
      <c r="E10" s="77" t="s">
        <v>206</v>
      </c>
      <c r="F10" s="68">
        <v>43.2</v>
      </c>
      <c r="G10" s="76" t="s">
        <v>89</v>
      </c>
      <c r="H10" s="25" t="s">
        <v>146</v>
      </c>
      <c r="K10">
        <f>SUM(K8:K9)</f>
        <v>656.39999999999986</v>
      </c>
      <c r="L10" t="s">
        <v>86</v>
      </c>
      <c r="M10" s="15" t="s">
        <v>97</v>
      </c>
      <c r="O10" s="67">
        <v>6.1023700000000003E-5</v>
      </c>
      <c r="P10" s="15" t="s">
        <v>134</v>
      </c>
    </row>
    <row r="11" spans="1:17" x14ac:dyDescent="0.25">
      <c r="B11" s="24"/>
      <c r="E11" s="77" t="s">
        <v>228</v>
      </c>
      <c r="F11" s="68">
        <v>48</v>
      </c>
      <c r="G11" s="76" t="s">
        <v>89</v>
      </c>
      <c r="H11" s="25"/>
      <c r="O11">
        <v>1421.941</v>
      </c>
      <c r="P11" s="15" t="s">
        <v>133</v>
      </c>
    </row>
    <row r="12" spans="1:17" x14ac:dyDescent="0.25">
      <c r="B12" s="24"/>
      <c r="G12" s="76"/>
      <c r="H12" s="25"/>
      <c r="K12" s="68">
        <v>4.8</v>
      </c>
      <c r="L12" s="15" t="s">
        <v>99</v>
      </c>
      <c r="M12" s="15" t="s">
        <v>110</v>
      </c>
    </row>
    <row r="13" spans="1:17" x14ac:dyDescent="0.25">
      <c r="B13" s="24"/>
      <c r="E13" s="77" t="s">
        <v>149</v>
      </c>
      <c r="F13" s="65">
        <f>(F10-F8)*3.1416*(F9+2)</f>
        <v>3350.579232</v>
      </c>
      <c r="G13" s="76" t="s">
        <v>89</v>
      </c>
      <c r="H13" s="25" t="s">
        <v>155</v>
      </c>
      <c r="K13" s="51">
        <f>(K12/2)^2*3.1416</f>
        <v>18.095616</v>
      </c>
      <c r="L13" s="15" t="s">
        <v>100</v>
      </c>
      <c r="M13" s="15" t="s">
        <v>111</v>
      </c>
      <c r="O13">
        <v>56</v>
      </c>
      <c r="P13" t="s">
        <v>135</v>
      </c>
    </row>
    <row r="14" spans="1:17" x14ac:dyDescent="0.25">
      <c r="B14" s="24"/>
      <c r="E14" s="77" t="s">
        <v>150</v>
      </c>
      <c r="F14" s="65">
        <f>F13*(F8/2)^2*3.1416/1000</f>
        <v>68.715164335652716</v>
      </c>
      <c r="G14" s="76" t="s">
        <v>86</v>
      </c>
      <c r="H14" s="25" t="s">
        <v>156</v>
      </c>
      <c r="K14" s="62">
        <v>22</v>
      </c>
      <c r="L14" s="15" t="s">
        <v>99</v>
      </c>
      <c r="M14" s="15" t="s">
        <v>112</v>
      </c>
    </row>
    <row r="15" spans="1:17" x14ac:dyDescent="0.25">
      <c r="B15" s="24"/>
      <c r="E15" s="77" t="s">
        <v>151</v>
      </c>
      <c r="F15" s="13">
        <f>(F11/2)^2*3.1416/100</f>
        <v>18.095616</v>
      </c>
      <c r="G15" s="76" t="s">
        <v>100</v>
      </c>
      <c r="H15" s="25" t="s">
        <v>157</v>
      </c>
      <c r="K15" s="12">
        <f>K13*K14</f>
        <v>398.10355199999998</v>
      </c>
      <c r="L15" t="s">
        <v>86</v>
      </c>
      <c r="M15" s="15" t="s">
        <v>162</v>
      </c>
    </row>
    <row r="16" spans="1:17" x14ac:dyDescent="0.25">
      <c r="B16" s="24"/>
      <c r="F16" s="65"/>
      <c r="H16" s="25"/>
    </row>
    <row r="17" spans="2:14" x14ac:dyDescent="0.25">
      <c r="B17" s="24"/>
      <c r="E17" s="77" t="s">
        <v>152</v>
      </c>
      <c r="F17" s="65">
        <f>F6-F7-F14</f>
        <v>656.38483566434718</v>
      </c>
      <c r="G17" s="76" t="s">
        <v>86</v>
      </c>
      <c r="H17" s="25" t="s">
        <v>161</v>
      </c>
      <c r="K17">
        <f>K10</f>
        <v>656.39999999999986</v>
      </c>
      <c r="L17" t="s">
        <v>86</v>
      </c>
      <c r="M17" t="s">
        <v>97</v>
      </c>
    </row>
    <row r="18" spans="2:14" x14ac:dyDescent="0.25">
      <c r="B18" s="24"/>
      <c r="E18" s="50" t="s">
        <v>158</v>
      </c>
      <c r="F18" s="65">
        <f>(F4/10)*F15</f>
        <v>108.573696</v>
      </c>
      <c r="G18" s="76" t="s">
        <v>86</v>
      </c>
      <c r="H18" s="25" t="s">
        <v>163</v>
      </c>
      <c r="K18" s="12">
        <f>-K15</f>
        <v>-398.10355199999998</v>
      </c>
      <c r="L18" t="s">
        <v>86</v>
      </c>
      <c r="M18" t="s">
        <v>91</v>
      </c>
    </row>
    <row r="19" spans="2:14" x14ac:dyDescent="0.25">
      <c r="B19" s="24"/>
      <c r="E19" s="50" t="s">
        <v>164</v>
      </c>
      <c r="F19" s="65">
        <f>F17-F18</f>
        <v>547.81113966434714</v>
      </c>
      <c r="G19" s="76" t="s">
        <v>86</v>
      </c>
      <c r="H19" s="25" t="s">
        <v>172</v>
      </c>
      <c r="K19" s="12">
        <f>SUM(K17:K18)</f>
        <v>258.29644799999988</v>
      </c>
      <c r="L19" t="s">
        <v>86</v>
      </c>
      <c r="M19" t="s">
        <v>94</v>
      </c>
    </row>
    <row r="20" spans="2:14" x14ac:dyDescent="0.25">
      <c r="B20" s="24"/>
      <c r="F20" s="65"/>
      <c r="H20" s="25"/>
    </row>
    <row r="21" spans="2:14" x14ac:dyDescent="0.25">
      <c r="B21" s="24"/>
      <c r="E21" s="77" t="s">
        <v>165</v>
      </c>
      <c r="F21" s="65">
        <f>14.7*(F17/F19)</f>
        <v>17.613473669370645</v>
      </c>
      <c r="G21" s="76" t="s">
        <v>92</v>
      </c>
      <c r="H21" s="25" t="s">
        <v>166</v>
      </c>
      <c r="K21" s="62">
        <v>14.7</v>
      </c>
      <c r="L21" t="s">
        <v>92</v>
      </c>
      <c r="M21" t="s">
        <v>93</v>
      </c>
    </row>
    <row r="22" spans="2:14" x14ac:dyDescent="0.25">
      <c r="B22" s="24"/>
      <c r="E22" s="50" t="s">
        <v>167</v>
      </c>
      <c r="F22" s="65">
        <f>F21-14.7</f>
        <v>2.9134736693706458</v>
      </c>
      <c r="G22" s="76" t="s">
        <v>92</v>
      </c>
      <c r="H22" s="25" t="s">
        <v>168</v>
      </c>
      <c r="K22">
        <f>K10</f>
        <v>656.39999999999986</v>
      </c>
      <c r="L22" t="s">
        <v>86</v>
      </c>
      <c r="M22" s="15" t="s">
        <v>97</v>
      </c>
    </row>
    <row r="23" spans="2:14" x14ac:dyDescent="0.25">
      <c r="B23" s="24"/>
      <c r="H23" s="25"/>
      <c r="K23" s="12">
        <f>K19</f>
        <v>258.29644799999988</v>
      </c>
      <c r="L23" t="s">
        <v>86</v>
      </c>
      <c r="M23" t="s">
        <v>94</v>
      </c>
    </row>
    <row r="24" spans="2:14" x14ac:dyDescent="0.25">
      <c r="B24" s="78" t="s">
        <v>171</v>
      </c>
      <c r="E24" s="77" t="s">
        <v>169</v>
      </c>
      <c r="F24" s="75">
        <f>F22*F15*0.155</f>
        <v>8.1717706157915355</v>
      </c>
      <c r="G24" s="73" t="s">
        <v>106</v>
      </c>
      <c r="H24" s="25" t="s">
        <v>170</v>
      </c>
      <c r="K24" s="12">
        <f>K21*(K22/K23)</f>
        <v>37.356611268614898</v>
      </c>
      <c r="L24" t="s">
        <v>95</v>
      </c>
      <c r="M24" t="s">
        <v>96</v>
      </c>
    </row>
    <row r="25" spans="2:14" x14ac:dyDescent="0.25">
      <c r="B25" s="24"/>
      <c r="H25" s="25"/>
      <c r="K25" s="12">
        <f>K24-K21</f>
        <v>22.656611268614899</v>
      </c>
      <c r="L25" t="s">
        <v>92</v>
      </c>
      <c r="M25" t="s">
        <v>98</v>
      </c>
    </row>
    <row r="26" spans="2:14" x14ac:dyDescent="0.25">
      <c r="B26" s="26"/>
      <c r="C26" s="47"/>
      <c r="D26" s="47"/>
      <c r="E26" s="47"/>
      <c r="F26" s="79"/>
      <c r="G26" s="47"/>
      <c r="H26" s="48"/>
      <c r="J26">
        <f>22.7*18.01</f>
        <v>408.827</v>
      </c>
    </row>
    <row r="27" spans="2:14" x14ac:dyDescent="0.25">
      <c r="J27">
        <f>408*0.00155</f>
        <v>0.63239999999999996</v>
      </c>
      <c r="K27" s="70">
        <f>K25*K13*0.155</f>
        <v>63.547727293609853</v>
      </c>
      <c r="L27" s="71" t="s">
        <v>106</v>
      </c>
      <c r="M27" s="72" t="s">
        <v>141</v>
      </c>
      <c r="N27" s="73"/>
    </row>
    <row r="28" spans="2:14" x14ac:dyDescent="0.25">
      <c r="B28" s="145" t="s">
        <v>376</v>
      </c>
      <c r="K28" s="62">
        <v>16.3</v>
      </c>
      <c r="M28" s="15" t="s">
        <v>138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FE6AB-8683-4238-95D4-6EF18A127F45}">
  <sheetPr transitionEvaluation="1" transitionEntry="1" codeName="Sheet11"/>
  <dimension ref="A2:S40"/>
  <sheetViews>
    <sheetView showGridLines="0" zoomScale="90" zoomScaleNormal="90" workbookViewId="0"/>
  </sheetViews>
  <sheetFormatPr defaultRowHeight="15" x14ac:dyDescent="0.25"/>
  <cols>
    <col min="1" max="6" width="11.7109375" customWidth="1"/>
    <col min="7" max="7" width="11.5703125" customWidth="1"/>
    <col min="8" max="11" width="11.7109375" customWidth="1"/>
    <col min="12" max="12" width="7.42578125" customWidth="1"/>
    <col min="13" max="14" width="11.7109375" customWidth="1"/>
    <col min="15" max="16" width="16.140625" customWidth="1"/>
    <col min="17" max="24" width="11.7109375" customWidth="1"/>
  </cols>
  <sheetData>
    <row r="2" spans="1:17" x14ac:dyDescent="0.25">
      <c r="A2" t="s">
        <v>140</v>
      </c>
      <c r="B2" s="85" t="s">
        <v>173</v>
      </c>
      <c r="C2" s="45"/>
      <c r="D2" s="45"/>
      <c r="E2" s="45"/>
      <c r="F2" s="45"/>
      <c r="G2" s="45"/>
      <c r="H2" s="46"/>
      <c r="K2" t="s">
        <v>85</v>
      </c>
    </row>
    <row r="3" spans="1:17" x14ac:dyDescent="0.25">
      <c r="A3" s="60" t="s">
        <v>375</v>
      </c>
      <c r="B3" s="250" t="s">
        <v>214</v>
      </c>
      <c r="H3" s="25"/>
    </row>
    <row r="4" spans="1:17" x14ac:dyDescent="0.25">
      <c r="B4" s="251" t="s">
        <v>215</v>
      </c>
      <c r="C4" s="62"/>
      <c r="E4" s="50" t="s">
        <v>159</v>
      </c>
      <c r="F4" s="62">
        <v>60</v>
      </c>
      <c r="G4" s="76" t="s">
        <v>89</v>
      </c>
      <c r="H4" s="25" t="s">
        <v>160</v>
      </c>
      <c r="O4" t="s">
        <v>102</v>
      </c>
    </row>
    <row r="5" spans="1:17" x14ac:dyDescent="0.25">
      <c r="B5" s="24"/>
      <c r="C5" s="62"/>
      <c r="H5" s="25"/>
      <c r="O5">
        <v>101.3069</v>
      </c>
      <c r="P5" t="s">
        <v>105</v>
      </c>
      <c r="Q5" s="15" t="s">
        <v>103</v>
      </c>
    </row>
    <row r="6" spans="1:17" x14ac:dyDescent="0.25">
      <c r="B6" s="24"/>
      <c r="E6" s="77" t="s">
        <v>200</v>
      </c>
      <c r="F6" s="68">
        <v>1330.1</v>
      </c>
      <c r="G6" s="76" t="s">
        <v>86</v>
      </c>
      <c r="H6" s="25" t="s">
        <v>153</v>
      </c>
      <c r="J6" s="62">
        <v>1065.0999999999999</v>
      </c>
      <c r="K6" s="68">
        <v>1065.0999999999999</v>
      </c>
      <c r="L6" s="15" t="s">
        <v>87</v>
      </c>
      <c r="M6" s="15" t="s">
        <v>109</v>
      </c>
      <c r="O6">
        <v>15.702999999999999</v>
      </c>
      <c r="P6" t="s">
        <v>106</v>
      </c>
      <c r="Q6" s="15" t="s">
        <v>104</v>
      </c>
    </row>
    <row r="7" spans="1:17" x14ac:dyDescent="0.25">
      <c r="B7" s="24"/>
      <c r="E7" s="77" t="s">
        <v>201</v>
      </c>
      <c r="F7" s="68">
        <v>923.1</v>
      </c>
      <c r="G7" s="76" t="s">
        <v>86</v>
      </c>
      <c r="H7" s="25" t="s">
        <v>154</v>
      </c>
      <c r="K7" s="69">
        <v>-340</v>
      </c>
      <c r="L7" t="s">
        <v>86</v>
      </c>
      <c r="M7" s="15" t="s">
        <v>88</v>
      </c>
      <c r="O7" s="51">
        <f>O6/O5</f>
        <v>0.15500424946375815</v>
      </c>
      <c r="P7" t="s">
        <v>107</v>
      </c>
    </row>
    <row r="8" spans="1:17" x14ac:dyDescent="0.25">
      <c r="B8" s="24"/>
      <c r="E8" s="77" t="s">
        <v>202</v>
      </c>
      <c r="F8" s="68">
        <v>400</v>
      </c>
      <c r="G8" s="76" t="s">
        <v>86</v>
      </c>
      <c r="H8" s="25" t="s">
        <v>144</v>
      </c>
      <c r="K8">
        <f>SUM(K6:K7)</f>
        <v>725.09999999999991</v>
      </c>
    </row>
    <row r="9" spans="1:17" x14ac:dyDescent="0.25">
      <c r="B9" s="24"/>
      <c r="E9" s="77" t="s">
        <v>203</v>
      </c>
      <c r="F9" s="68">
        <v>225</v>
      </c>
      <c r="G9" s="76" t="s">
        <v>86</v>
      </c>
      <c r="H9" s="25" t="s">
        <v>145</v>
      </c>
      <c r="K9" s="69">
        <v>-68.7</v>
      </c>
      <c r="M9" s="15" t="s">
        <v>139</v>
      </c>
      <c r="O9">
        <v>1.5499999999999999E-3</v>
      </c>
      <c r="P9" t="s">
        <v>131</v>
      </c>
    </row>
    <row r="10" spans="1:17" x14ac:dyDescent="0.25">
      <c r="B10" s="24"/>
      <c r="E10" s="77" t="s">
        <v>204</v>
      </c>
      <c r="F10" s="68">
        <v>6.63</v>
      </c>
      <c r="G10" s="76" t="s">
        <v>89</v>
      </c>
      <c r="H10" s="25" t="s">
        <v>146</v>
      </c>
      <c r="K10">
        <f>SUM(K8:K9)</f>
        <v>656.39999999999986</v>
      </c>
      <c r="L10" t="s">
        <v>86</v>
      </c>
      <c r="M10" s="15" t="s">
        <v>97</v>
      </c>
      <c r="O10" s="67">
        <v>6.1023700000000003E-5</v>
      </c>
      <c r="P10" s="15" t="s">
        <v>134</v>
      </c>
    </row>
    <row r="11" spans="1:17" x14ac:dyDescent="0.25">
      <c r="B11" s="24"/>
      <c r="E11" s="77" t="s">
        <v>205</v>
      </c>
      <c r="F11" s="68">
        <v>37</v>
      </c>
      <c r="G11" s="76" t="s">
        <v>143</v>
      </c>
      <c r="H11" s="25" t="s">
        <v>181</v>
      </c>
      <c r="O11">
        <v>1421.941</v>
      </c>
      <c r="P11" s="15" t="s">
        <v>133</v>
      </c>
    </row>
    <row r="12" spans="1:17" x14ac:dyDescent="0.25">
      <c r="B12" s="24"/>
      <c r="E12" s="77" t="s">
        <v>206</v>
      </c>
      <c r="F12" s="68">
        <v>43.9</v>
      </c>
      <c r="G12" s="76" t="s">
        <v>89</v>
      </c>
      <c r="H12" s="25" t="s">
        <v>182</v>
      </c>
      <c r="K12" s="68">
        <v>4.8</v>
      </c>
      <c r="L12" s="15" t="s">
        <v>99</v>
      </c>
      <c r="M12" s="15" t="s">
        <v>110</v>
      </c>
    </row>
    <row r="13" spans="1:17" x14ac:dyDescent="0.25">
      <c r="B13" s="24"/>
      <c r="E13" s="77" t="s">
        <v>228</v>
      </c>
      <c r="F13" s="68">
        <v>48</v>
      </c>
      <c r="G13" s="76" t="s">
        <v>89</v>
      </c>
      <c r="H13" s="25" t="s">
        <v>155</v>
      </c>
      <c r="K13" s="51">
        <f>(K12/2)^2*3.1416</f>
        <v>18.095616</v>
      </c>
      <c r="L13" s="15" t="s">
        <v>100</v>
      </c>
      <c r="M13" s="15" t="s">
        <v>111</v>
      </c>
      <c r="O13">
        <v>56</v>
      </c>
      <c r="P13" t="s">
        <v>135</v>
      </c>
    </row>
    <row r="14" spans="1:17" x14ac:dyDescent="0.25">
      <c r="B14" s="24"/>
      <c r="G14" s="76"/>
      <c r="H14" s="25" t="s">
        <v>156</v>
      </c>
      <c r="K14" s="62">
        <v>22</v>
      </c>
      <c r="L14" s="15" t="s">
        <v>99</v>
      </c>
      <c r="M14" s="15" t="s">
        <v>112</v>
      </c>
    </row>
    <row r="15" spans="1:17" x14ac:dyDescent="0.25">
      <c r="B15" s="24"/>
      <c r="E15" s="77" t="s">
        <v>208</v>
      </c>
      <c r="F15" s="65">
        <f>(F12-F10)*3.1416*(F11+2)</f>
        <v>4566.4098479999993</v>
      </c>
      <c r="G15" s="76" t="s">
        <v>89</v>
      </c>
      <c r="H15" s="25" t="s">
        <v>157</v>
      </c>
      <c r="K15" s="12">
        <f>K13*K14</f>
        <v>398.10355199999998</v>
      </c>
      <c r="L15" t="s">
        <v>86</v>
      </c>
      <c r="M15" s="15" t="s">
        <v>162</v>
      </c>
    </row>
    <row r="16" spans="1:17" x14ac:dyDescent="0.25">
      <c r="B16" s="24"/>
      <c r="C16">
        <f>(F10/2)^2*3.1416</f>
        <v>34.523749259999995</v>
      </c>
      <c r="E16" s="77" t="s">
        <v>209</v>
      </c>
      <c r="F16" s="65">
        <f>F15*(F10/2)^2*3.1416/1000</f>
        <v>157.64958861074669</v>
      </c>
      <c r="G16" s="76" t="s">
        <v>86</v>
      </c>
      <c r="H16" s="25" t="s">
        <v>211</v>
      </c>
    </row>
    <row r="17" spans="2:19" x14ac:dyDescent="0.25">
      <c r="B17" s="24"/>
      <c r="E17" s="77" t="s">
        <v>210</v>
      </c>
      <c r="F17" s="65">
        <f>(F13/2)^2*3.1416/100</f>
        <v>18.095616</v>
      </c>
      <c r="G17" s="76" t="s">
        <v>100</v>
      </c>
      <c r="H17" s="25" t="s">
        <v>161</v>
      </c>
      <c r="K17">
        <f>K10</f>
        <v>656.39999999999986</v>
      </c>
      <c r="L17" t="s">
        <v>86</v>
      </c>
      <c r="M17" t="s">
        <v>97</v>
      </c>
      <c r="S17">
        <f>571/518</f>
        <v>1.1023166023166022</v>
      </c>
    </row>
    <row r="18" spans="2:19" x14ac:dyDescent="0.25">
      <c r="B18" s="24"/>
      <c r="F18" s="65"/>
      <c r="H18" s="25" t="s">
        <v>163</v>
      </c>
      <c r="K18" s="12">
        <f>-K15</f>
        <v>-398.10355199999998</v>
      </c>
      <c r="L18" t="s">
        <v>86</v>
      </c>
      <c r="M18" t="s">
        <v>91</v>
      </c>
      <c r="S18">
        <f>619/519</f>
        <v>1.1926782273603083</v>
      </c>
    </row>
    <row r="19" spans="2:19" x14ac:dyDescent="0.25">
      <c r="B19" s="24"/>
      <c r="E19" s="77" t="s">
        <v>207</v>
      </c>
      <c r="F19" s="65">
        <f>F6-F8-F16</f>
        <v>772.45041138925319</v>
      </c>
      <c r="G19" s="76" t="s">
        <v>86</v>
      </c>
      <c r="H19" s="25" t="s">
        <v>172</v>
      </c>
      <c r="K19" s="12">
        <f>SUM(K17:K18)</f>
        <v>258.29644799999988</v>
      </c>
      <c r="L19" t="s">
        <v>86</v>
      </c>
      <c r="M19" t="s">
        <v>94</v>
      </c>
    </row>
    <row r="20" spans="2:19" x14ac:dyDescent="0.25">
      <c r="B20" s="24"/>
      <c r="E20" s="77" t="s">
        <v>213</v>
      </c>
      <c r="F20" s="65">
        <f>F7-F9</f>
        <v>698.1</v>
      </c>
      <c r="G20" s="76" t="s">
        <v>86</v>
      </c>
      <c r="H20" s="25" t="s">
        <v>212</v>
      </c>
    </row>
    <row r="21" spans="2:19" x14ac:dyDescent="0.25">
      <c r="B21" s="24"/>
      <c r="H21" s="25" t="s">
        <v>166</v>
      </c>
      <c r="K21" s="62">
        <v>14.7</v>
      </c>
      <c r="L21" t="s">
        <v>92</v>
      </c>
      <c r="M21" t="s">
        <v>93</v>
      </c>
    </row>
    <row r="22" spans="2:19" x14ac:dyDescent="0.25">
      <c r="B22" s="24"/>
      <c r="E22" s="77" t="s">
        <v>216</v>
      </c>
      <c r="F22" s="65">
        <f>(F4/10)*F17</f>
        <v>108.573696</v>
      </c>
      <c r="G22" s="76" t="s">
        <v>86</v>
      </c>
      <c r="H22" s="25" t="s">
        <v>168</v>
      </c>
      <c r="K22">
        <f>K10</f>
        <v>656.39999999999986</v>
      </c>
      <c r="L22" t="s">
        <v>86</v>
      </c>
      <c r="M22" s="15" t="s">
        <v>97</v>
      </c>
    </row>
    <row r="23" spans="2:19" x14ac:dyDescent="0.25">
      <c r="B23" s="24"/>
      <c r="E23" s="77" t="s">
        <v>217</v>
      </c>
      <c r="F23" s="65">
        <f>F19-F22</f>
        <v>663.87671538925315</v>
      </c>
      <c r="G23" s="76" t="s">
        <v>86</v>
      </c>
      <c r="H23" s="25" t="s">
        <v>218</v>
      </c>
      <c r="K23" s="12">
        <f>K19</f>
        <v>258.29644799999988</v>
      </c>
      <c r="L23" t="s">
        <v>86</v>
      </c>
      <c r="M23" t="s">
        <v>94</v>
      </c>
    </row>
    <row r="24" spans="2:19" x14ac:dyDescent="0.25">
      <c r="B24" s="24"/>
      <c r="E24" s="77" t="s">
        <v>221</v>
      </c>
      <c r="F24" s="65">
        <f>F20-F22</f>
        <v>589.52630399999998</v>
      </c>
      <c r="G24" s="76" t="s">
        <v>86</v>
      </c>
      <c r="H24" s="25" t="s">
        <v>170</v>
      </c>
      <c r="K24" s="12">
        <f>K21*(K22/K23)</f>
        <v>37.356611268614898</v>
      </c>
      <c r="L24" t="s">
        <v>95</v>
      </c>
      <c r="M24" t="s">
        <v>96</v>
      </c>
    </row>
    <row r="25" spans="2:19" x14ac:dyDescent="0.25">
      <c r="B25" s="24"/>
      <c r="F25" s="65"/>
      <c r="H25" s="25" t="s">
        <v>219</v>
      </c>
      <c r="K25" s="12">
        <f>K24-K21</f>
        <v>22.656611268614899</v>
      </c>
      <c r="L25" t="s">
        <v>92</v>
      </c>
      <c r="M25" t="s">
        <v>98</v>
      </c>
    </row>
    <row r="26" spans="2:19" x14ac:dyDescent="0.25">
      <c r="B26" s="24"/>
      <c r="E26" s="77" t="s">
        <v>348</v>
      </c>
      <c r="F26" s="62">
        <v>1.32</v>
      </c>
      <c r="H26" s="25"/>
      <c r="J26">
        <f>22.7*18.01</f>
        <v>408.827</v>
      </c>
    </row>
    <row r="27" spans="2:19" x14ac:dyDescent="0.25">
      <c r="B27" s="24"/>
      <c r="E27" s="77" t="s">
        <v>222</v>
      </c>
      <c r="F27" s="65">
        <f>14.7*(F19/F23)^F26</f>
        <v>17.953582514809757</v>
      </c>
      <c r="G27" s="76" t="s">
        <v>92</v>
      </c>
      <c r="H27" s="25" t="s">
        <v>229</v>
      </c>
      <c r="J27">
        <f>408*0.00155</f>
        <v>0.63239999999999996</v>
      </c>
      <c r="K27" s="70">
        <f>K25*K13*0.155</f>
        <v>63.547727293609853</v>
      </c>
      <c r="L27" s="71" t="s">
        <v>106</v>
      </c>
      <c r="M27" s="72" t="s">
        <v>141</v>
      </c>
      <c r="N27" s="73"/>
    </row>
    <row r="28" spans="2:19" x14ac:dyDescent="0.25">
      <c r="B28" s="24"/>
      <c r="E28" s="77" t="s">
        <v>223</v>
      </c>
      <c r="F28" s="65">
        <f>14.7*(F20/F24)^F26</f>
        <v>18.374875674002478</v>
      </c>
      <c r="G28" s="76" t="s">
        <v>92</v>
      </c>
      <c r="H28" s="25" t="s">
        <v>243</v>
      </c>
      <c r="K28" s="62">
        <v>16.3</v>
      </c>
      <c r="M28" s="15" t="s">
        <v>138</v>
      </c>
    </row>
    <row r="29" spans="2:19" x14ac:dyDescent="0.25">
      <c r="B29" s="24"/>
      <c r="E29" s="77" t="s">
        <v>224</v>
      </c>
      <c r="F29" s="65">
        <f>F27-14.7</f>
        <v>3.2535825148097572</v>
      </c>
      <c r="G29" s="76" t="s">
        <v>92</v>
      </c>
      <c r="H29" s="25" t="s">
        <v>242</v>
      </c>
    </row>
    <row r="30" spans="2:19" x14ac:dyDescent="0.25">
      <c r="B30" s="24"/>
      <c r="E30" s="77" t="s">
        <v>225</v>
      </c>
      <c r="F30" s="65">
        <f>F28-14.7</f>
        <v>3.6748756740024788</v>
      </c>
      <c r="G30" s="76" t="s">
        <v>92</v>
      </c>
      <c r="H30" s="25" t="s">
        <v>230</v>
      </c>
    </row>
    <row r="31" spans="2:19" x14ac:dyDescent="0.25">
      <c r="B31" s="78" t="s">
        <v>171</v>
      </c>
      <c r="H31" s="25" t="s">
        <v>231</v>
      </c>
    </row>
    <row r="32" spans="2:19" x14ac:dyDescent="0.25">
      <c r="B32" s="24"/>
      <c r="E32" s="77" t="s">
        <v>226</v>
      </c>
      <c r="F32" s="87">
        <f>F29*F17*0.155</f>
        <v>9.1257148709083094</v>
      </c>
      <c r="G32" s="88" t="s">
        <v>106</v>
      </c>
      <c r="H32" s="25" t="s">
        <v>412</v>
      </c>
    </row>
    <row r="33" spans="2:14" x14ac:dyDescent="0.25">
      <c r="B33" s="24"/>
      <c r="E33" s="77" t="s">
        <v>227</v>
      </c>
      <c r="F33" s="87">
        <f>F30*F17*0.155</f>
        <v>10.307366551895955</v>
      </c>
      <c r="G33" s="88" t="s">
        <v>106</v>
      </c>
      <c r="H33" s="25"/>
    </row>
    <row r="34" spans="2:14" x14ac:dyDescent="0.25">
      <c r="B34" s="24"/>
      <c r="E34" s="50" t="s">
        <v>241</v>
      </c>
      <c r="F34" s="89">
        <f>SUM(F32:F33)</f>
        <v>19.433081422804264</v>
      </c>
      <c r="G34" s="88" t="s">
        <v>106</v>
      </c>
      <c r="H34" s="25"/>
    </row>
    <row r="35" spans="2:14" x14ac:dyDescent="0.25">
      <c r="B35" s="26"/>
      <c r="C35" s="47"/>
      <c r="D35" s="47"/>
      <c r="E35" s="47"/>
      <c r="F35" s="47"/>
      <c r="G35" s="47"/>
      <c r="H35" s="48"/>
    </row>
    <row r="37" spans="2:14" x14ac:dyDescent="0.25">
      <c r="E37" t="s">
        <v>244</v>
      </c>
      <c r="F37">
        <f>((14.7*F19/(F19-(F$4/10)*F$17))-14.7)*F$17*0.155</f>
        <v>6.7430998411920715</v>
      </c>
      <c r="I37" s="15" t="s">
        <v>247</v>
      </c>
    </row>
    <row r="38" spans="2:14" x14ac:dyDescent="0.25">
      <c r="E38" t="s">
        <v>245</v>
      </c>
      <c r="F38">
        <f>((14.7*F20/(F20-(F$4/10)*F$17))-14.7)*F$17*0.155</f>
        <v>7.5935322032931456</v>
      </c>
    </row>
    <row r="39" spans="2:14" x14ac:dyDescent="0.25">
      <c r="J39" t="s">
        <v>248</v>
      </c>
      <c r="L39" t="s">
        <v>249</v>
      </c>
      <c r="M39" t="s">
        <v>250</v>
      </c>
    </row>
    <row r="40" spans="2:14" x14ac:dyDescent="0.25">
      <c r="F40" t="s">
        <v>246</v>
      </c>
      <c r="J40" t="s">
        <v>30</v>
      </c>
      <c r="L40" t="s">
        <v>31</v>
      </c>
      <c r="N40" t="s">
        <v>32</v>
      </c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0B966-CB63-49BD-A3B4-E67EC2764B6E}">
  <sheetPr transitionEvaluation="1" transitionEntry="1" codeName="Sheet13"/>
  <dimension ref="A2:Q34"/>
  <sheetViews>
    <sheetView showGridLines="0" zoomScale="90" zoomScaleNormal="90" workbookViewId="0"/>
  </sheetViews>
  <sheetFormatPr defaultRowHeight="15" x14ac:dyDescent="0.25"/>
  <cols>
    <col min="1" max="6" width="11.7109375" customWidth="1"/>
    <col min="7" max="7" width="11.5703125" customWidth="1"/>
    <col min="8" max="11" width="11.7109375" customWidth="1"/>
    <col min="12" max="12" width="7.42578125" customWidth="1"/>
    <col min="13" max="14" width="11.7109375" customWidth="1"/>
    <col min="15" max="16" width="16.140625" customWidth="1"/>
    <col min="17" max="24" width="11.7109375" customWidth="1"/>
  </cols>
  <sheetData>
    <row r="2" spans="1:17" x14ac:dyDescent="0.25">
      <c r="A2" t="s">
        <v>140</v>
      </c>
      <c r="B2" s="81" t="s">
        <v>173</v>
      </c>
      <c r="C2" s="80"/>
      <c r="D2" s="80"/>
      <c r="E2" s="80"/>
      <c r="F2" s="73"/>
      <c r="I2" t="s">
        <v>85</v>
      </c>
    </row>
    <row r="3" spans="1:17" x14ac:dyDescent="0.25">
      <c r="A3" s="60" t="s">
        <v>375</v>
      </c>
      <c r="B3" s="44"/>
      <c r="C3" s="45"/>
      <c r="D3" s="45"/>
      <c r="E3" s="45"/>
      <c r="F3" s="46"/>
    </row>
    <row r="4" spans="1:17" x14ac:dyDescent="0.25">
      <c r="B4" s="24"/>
      <c r="C4" s="77" t="s">
        <v>159</v>
      </c>
      <c r="D4" s="62">
        <v>60</v>
      </c>
      <c r="E4" s="76" t="s">
        <v>89</v>
      </c>
      <c r="F4" s="82" t="s">
        <v>184</v>
      </c>
      <c r="O4" t="s">
        <v>102</v>
      </c>
    </row>
    <row r="5" spans="1:17" x14ac:dyDescent="0.25">
      <c r="A5" t="s">
        <v>240</v>
      </c>
      <c r="B5" s="24"/>
      <c r="F5" s="25"/>
      <c r="O5">
        <v>101.3069</v>
      </c>
      <c r="P5" t="s">
        <v>105</v>
      </c>
      <c r="Q5" s="15" t="s">
        <v>103</v>
      </c>
    </row>
    <row r="6" spans="1:17" x14ac:dyDescent="0.25">
      <c r="A6" s="90">
        <v>12.5</v>
      </c>
      <c r="B6" s="24"/>
      <c r="C6" s="77" t="s">
        <v>174</v>
      </c>
      <c r="D6" s="68">
        <v>12</v>
      </c>
      <c r="E6" s="76" t="s">
        <v>89</v>
      </c>
      <c r="F6" s="25" t="s">
        <v>185</v>
      </c>
      <c r="H6" s="66">
        <f>J6/25.4</f>
        <v>0.49212598425196852</v>
      </c>
      <c r="I6" t="s">
        <v>127</v>
      </c>
      <c r="J6" s="62">
        <v>12.5</v>
      </c>
      <c r="K6" t="s">
        <v>89</v>
      </c>
      <c r="L6" t="s">
        <v>108</v>
      </c>
      <c r="O6">
        <v>15.702999999999999</v>
      </c>
      <c r="P6" t="s">
        <v>106</v>
      </c>
      <c r="Q6" s="15" t="s">
        <v>104</v>
      </c>
    </row>
    <row r="7" spans="1:17" x14ac:dyDescent="0.25">
      <c r="A7" s="90">
        <v>36</v>
      </c>
      <c r="B7" s="24"/>
      <c r="C7" s="50" t="s">
        <v>175</v>
      </c>
      <c r="D7" s="68">
        <v>34</v>
      </c>
      <c r="E7" s="76" t="s">
        <v>89</v>
      </c>
      <c r="F7" s="25" t="s">
        <v>186</v>
      </c>
      <c r="H7" s="51">
        <f>(H6/2)^2*3.1416</f>
        <v>0.19021444292888587</v>
      </c>
      <c r="I7" t="s">
        <v>128</v>
      </c>
      <c r="J7" s="12">
        <f>(J6/2)^2*3.1416</f>
        <v>122.71875</v>
      </c>
      <c r="K7" t="s">
        <v>90</v>
      </c>
      <c r="L7" t="s">
        <v>115</v>
      </c>
      <c r="O7" s="51">
        <f>O6/O5</f>
        <v>0.15500424946375815</v>
      </c>
      <c r="P7" t="s">
        <v>107</v>
      </c>
    </row>
    <row r="8" spans="1:17" x14ac:dyDescent="0.25">
      <c r="A8" s="90">
        <v>10</v>
      </c>
      <c r="B8" s="24"/>
      <c r="C8" s="50" t="s">
        <v>176</v>
      </c>
      <c r="D8" s="68">
        <v>10</v>
      </c>
      <c r="E8" s="76" t="s">
        <v>89</v>
      </c>
      <c r="F8" s="25" t="s">
        <v>187</v>
      </c>
      <c r="H8" s="66">
        <f>J8/25.4</f>
        <v>1.4173228346456694</v>
      </c>
      <c r="I8" t="s">
        <v>127</v>
      </c>
      <c r="J8" s="62">
        <v>36</v>
      </c>
      <c r="K8" t="s">
        <v>89</v>
      </c>
      <c r="L8" s="63" t="s">
        <v>113</v>
      </c>
    </row>
    <row r="9" spans="1:17" x14ac:dyDescent="0.25">
      <c r="A9" s="90">
        <v>1.95</v>
      </c>
      <c r="B9" s="24"/>
      <c r="C9" s="77" t="s">
        <v>177</v>
      </c>
      <c r="D9" s="68">
        <v>1.63</v>
      </c>
      <c r="E9" s="76" t="s">
        <v>123</v>
      </c>
      <c r="F9" s="25" t="s">
        <v>188</v>
      </c>
      <c r="H9" s="13">
        <f>(H8/2)^2*3.1416</f>
        <v>1.577714675429351</v>
      </c>
      <c r="I9" t="s">
        <v>128</v>
      </c>
      <c r="J9" s="12">
        <f>(J8/2)^2*3.1416</f>
        <v>1017.8783999999999</v>
      </c>
      <c r="K9" t="s">
        <v>90</v>
      </c>
      <c r="L9" t="s">
        <v>118</v>
      </c>
      <c r="O9">
        <v>1.5499999999999999E-3</v>
      </c>
      <c r="P9" t="s">
        <v>131</v>
      </c>
    </row>
    <row r="10" spans="1:17" x14ac:dyDescent="0.25">
      <c r="A10" s="90">
        <v>0</v>
      </c>
      <c r="B10" s="24"/>
      <c r="C10" s="77" t="s">
        <v>246</v>
      </c>
      <c r="D10" s="68">
        <v>14</v>
      </c>
      <c r="E10" s="76" t="s">
        <v>89</v>
      </c>
      <c r="F10" s="25" t="s">
        <v>233</v>
      </c>
      <c r="H10" s="66">
        <f>J10/25.4</f>
        <v>0.39370078740157483</v>
      </c>
      <c r="I10" t="s">
        <v>127</v>
      </c>
      <c r="J10" s="62">
        <v>10</v>
      </c>
      <c r="K10" t="s">
        <v>89</v>
      </c>
      <c r="L10" t="s">
        <v>114</v>
      </c>
      <c r="O10" s="67">
        <v>6.1023700000000003E-5</v>
      </c>
      <c r="P10" s="15" t="s">
        <v>134</v>
      </c>
    </row>
    <row r="11" spans="1:17" x14ac:dyDescent="0.25">
      <c r="B11" s="24"/>
      <c r="F11" s="25"/>
      <c r="H11" s="51">
        <f>(H10/2)^2*3.1416</f>
        <v>0.12173724347448694</v>
      </c>
      <c r="I11" t="s">
        <v>128</v>
      </c>
      <c r="J11" s="65">
        <f>(J10/2)^2*3.1416</f>
        <v>78.539999999999992</v>
      </c>
      <c r="K11" t="s">
        <v>90</v>
      </c>
      <c r="L11" t="s">
        <v>119</v>
      </c>
      <c r="O11">
        <v>1421.941</v>
      </c>
      <c r="P11" s="15" t="s">
        <v>133</v>
      </c>
    </row>
    <row r="12" spans="1:17" x14ac:dyDescent="0.25">
      <c r="B12" s="24"/>
      <c r="C12" t="s">
        <v>178</v>
      </c>
      <c r="D12" s="65">
        <f>(D6/2)^2*3.1416</f>
        <v>113.0976</v>
      </c>
      <c r="E12" s="76" t="s">
        <v>90</v>
      </c>
      <c r="F12" s="25" t="s">
        <v>189</v>
      </c>
      <c r="H12" s="13">
        <f>H9-H11</f>
        <v>1.455977431954864</v>
      </c>
      <c r="I12" t="s">
        <v>128</v>
      </c>
      <c r="J12" s="12">
        <f>J9-J11</f>
        <v>939.33839999999998</v>
      </c>
      <c r="K12" s="15" t="s">
        <v>90</v>
      </c>
      <c r="L12" s="15" t="s">
        <v>120</v>
      </c>
    </row>
    <row r="13" spans="1:17" x14ac:dyDescent="0.25">
      <c r="B13" s="24"/>
      <c r="C13" t="s">
        <v>179</v>
      </c>
      <c r="D13" s="65">
        <f>(D7/2)^2*3.1416</f>
        <v>907.92240000000004</v>
      </c>
      <c r="E13" s="76" t="s">
        <v>90</v>
      </c>
      <c r="F13" s="25" t="s">
        <v>190</v>
      </c>
      <c r="O13">
        <v>56</v>
      </c>
      <c r="P13" t="s">
        <v>135</v>
      </c>
    </row>
    <row r="14" spans="1:17" x14ac:dyDescent="0.25">
      <c r="B14" s="24"/>
      <c r="C14" t="s">
        <v>180</v>
      </c>
      <c r="D14" s="65">
        <f>(D8/2)^2*3.1416</f>
        <v>78.539999999999992</v>
      </c>
      <c r="E14" s="76" t="s">
        <v>90</v>
      </c>
      <c r="F14" s="25" t="s">
        <v>234</v>
      </c>
      <c r="H14" s="66">
        <f>J14/25.4</f>
        <v>8.6614173228346463</v>
      </c>
      <c r="I14" t="s">
        <v>127</v>
      </c>
      <c r="J14" s="68">
        <v>220</v>
      </c>
      <c r="K14" t="s">
        <v>89</v>
      </c>
      <c r="L14" t="s">
        <v>116</v>
      </c>
    </row>
    <row r="15" spans="1:17" x14ac:dyDescent="0.25">
      <c r="B15" s="24"/>
      <c r="F15" s="25"/>
      <c r="H15" s="13">
        <f>H7*H14</f>
        <v>1.6475266710375942</v>
      </c>
      <c r="I15" t="s">
        <v>129</v>
      </c>
      <c r="J15" s="64">
        <f>J7*J14</f>
        <v>26998.125</v>
      </c>
      <c r="K15" t="s">
        <v>101</v>
      </c>
      <c r="L15" s="15" t="s">
        <v>117</v>
      </c>
    </row>
    <row r="16" spans="1:17" x14ac:dyDescent="0.25">
      <c r="B16" s="24"/>
      <c r="C16" s="77" t="s">
        <v>183</v>
      </c>
      <c r="D16" s="65">
        <f>D13-D14</f>
        <v>829.38240000000008</v>
      </c>
      <c r="E16" s="76" t="s">
        <v>90</v>
      </c>
      <c r="F16" s="83" t="s">
        <v>235</v>
      </c>
      <c r="H16" s="51">
        <f>H15/H12</f>
        <v>1.1315605825191584</v>
      </c>
      <c r="I16" t="s">
        <v>127</v>
      </c>
      <c r="J16" s="65">
        <f>J15/J12</f>
        <v>28.741638795986624</v>
      </c>
      <c r="K16" t="s">
        <v>89</v>
      </c>
      <c r="L16" s="15" t="s">
        <v>121</v>
      </c>
    </row>
    <row r="17" spans="2:12" x14ac:dyDescent="0.25">
      <c r="B17" s="100"/>
      <c r="C17" s="101"/>
      <c r="F17" s="25"/>
    </row>
    <row r="18" spans="2:12" x14ac:dyDescent="0.25">
      <c r="B18" s="24"/>
      <c r="C18" s="77" t="s">
        <v>191</v>
      </c>
      <c r="D18" s="64">
        <f>D4*D12</f>
        <v>6785.8559999999998</v>
      </c>
      <c r="E18" s="91" t="s">
        <v>101</v>
      </c>
      <c r="F18" s="25" t="s">
        <v>236</v>
      </c>
      <c r="H18">
        <f>J18*56</f>
        <v>109.2</v>
      </c>
      <c r="I18" t="s">
        <v>130</v>
      </c>
      <c r="J18" s="68">
        <v>1.95</v>
      </c>
      <c r="K18" t="s">
        <v>123</v>
      </c>
      <c r="L18" t="s">
        <v>122</v>
      </c>
    </row>
    <row r="19" spans="2:12" x14ac:dyDescent="0.25">
      <c r="B19" s="24"/>
      <c r="C19" s="50" t="s">
        <v>192</v>
      </c>
      <c r="D19" s="65">
        <f>D18/D16</f>
        <v>8.1818181818181817</v>
      </c>
      <c r="E19" s="76" t="s">
        <v>89</v>
      </c>
      <c r="F19" s="25" t="s">
        <v>237</v>
      </c>
      <c r="H19" s="13">
        <f>H16*H18</f>
        <v>123.5664156110921</v>
      </c>
      <c r="I19" s="15" t="s">
        <v>106</v>
      </c>
      <c r="J19" s="12">
        <f>J16*J18</f>
        <v>56.046195652173914</v>
      </c>
      <c r="K19" t="s">
        <v>124</v>
      </c>
      <c r="L19" s="15" t="s">
        <v>125</v>
      </c>
    </row>
    <row r="20" spans="2:12" x14ac:dyDescent="0.25">
      <c r="B20" s="24"/>
      <c r="F20" s="25"/>
      <c r="J20" s="12"/>
    </row>
    <row r="21" spans="2:12" x14ac:dyDescent="0.25">
      <c r="B21" s="24"/>
      <c r="C21" s="77" t="s">
        <v>193</v>
      </c>
      <c r="D21" s="12">
        <f>D9*(D19+D10)</f>
        <v>36.156363636363629</v>
      </c>
      <c r="E21" s="76" t="s">
        <v>124</v>
      </c>
      <c r="F21" s="25" t="s">
        <v>238</v>
      </c>
      <c r="J21" s="13">
        <f>J19/J12</f>
        <v>5.9665606827288137E-2</v>
      </c>
      <c r="K21" t="s">
        <v>132</v>
      </c>
      <c r="L21" s="15" t="s">
        <v>126</v>
      </c>
    </row>
    <row r="22" spans="2:12" x14ac:dyDescent="0.25">
      <c r="B22" s="92"/>
      <c r="C22" s="93" t="s">
        <v>194</v>
      </c>
      <c r="D22" s="94">
        <f>D21/D16</f>
        <v>4.3594322276869664E-2</v>
      </c>
      <c r="E22" s="95" t="s">
        <v>132</v>
      </c>
      <c r="F22" s="25" t="s">
        <v>239</v>
      </c>
      <c r="H22" s="65">
        <f>H19/H12</f>
        <v>84.868359151134641</v>
      </c>
      <c r="I22" t="s">
        <v>92</v>
      </c>
      <c r="J22" s="65">
        <f>J21*O11</f>
        <v>84.840972637600927</v>
      </c>
      <c r="K22" t="s">
        <v>92</v>
      </c>
      <c r="L22" t="s">
        <v>136</v>
      </c>
    </row>
    <row r="23" spans="2:12" x14ac:dyDescent="0.25">
      <c r="B23" s="97"/>
      <c r="C23" s="96" t="s">
        <v>195</v>
      </c>
      <c r="D23" s="98">
        <f>D22*1421.941</f>
        <v>61.988554212694325</v>
      </c>
      <c r="E23" s="99" t="s">
        <v>92</v>
      </c>
      <c r="F23" s="82" t="s">
        <v>198</v>
      </c>
      <c r="J23" s="12">
        <f>J21*J7</f>
        <v>7.3220886878362661</v>
      </c>
      <c r="K23" t="s">
        <v>124</v>
      </c>
    </row>
    <row r="24" spans="2:12" x14ac:dyDescent="0.25">
      <c r="B24" s="24"/>
      <c r="C24" s="50" t="s">
        <v>196</v>
      </c>
      <c r="D24" s="65">
        <f>D22*D12</f>
        <v>4.9304132231404942</v>
      </c>
      <c r="E24" t="s">
        <v>124</v>
      </c>
      <c r="F24" s="82" t="s">
        <v>199</v>
      </c>
      <c r="H24" s="70">
        <f>H22*H7</f>
        <v>16.143187658221688</v>
      </c>
      <c r="I24" s="74" t="s">
        <v>142</v>
      </c>
      <c r="J24" s="65">
        <f>J23*2.2046</f>
        <v>16.142276721203832</v>
      </c>
      <c r="K24" t="s">
        <v>106</v>
      </c>
      <c r="L24" t="s">
        <v>137</v>
      </c>
    </row>
    <row r="25" spans="2:12" x14ac:dyDescent="0.25">
      <c r="B25" s="24"/>
      <c r="C25" s="50" t="s">
        <v>197</v>
      </c>
      <c r="D25" s="84">
        <f>D24*2.2046</f>
        <v>10.869588991735535</v>
      </c>
      <c r="E25" s="73" t="s">
        <v>106</v>
      </c>
      <c r="F25" s="25"/>
    </row>
    <row r="26" spans="2:12" x14ac:dyDescent="0.25">
      <c r="B26" s="26"/>
      <c r="C26" s="47"/>
      <c r="D26" s="47"/>
      <c r="E26" s="47"/>
      <c r="F26" s="48"/>
      <c r="J26" s="12"/>
    </row>
    <row r="28" spans="2:12" x14ac:dyDescent="0.25">
      <c r="B28" s="102" t="s">
        <v>259</v>
      </c>
      <c r="K28" s="1" t="s">
        <v>39</v>
      </c>
    </row>
    <row r="29" spans="2:12" x14ac:dyDescent="0.25">
      <c r="C29" s="15"/>
      <c r="K29" t="s">
        <v>232</v>
      </c>
    </row>
    <row r="30" spans="2:12" x14ac:dyDescent="0.25">
      <c r="B30" s="24"/>
      <c r="C30" s="50" t="s">
        <v>197</v>
      </c>
      <c r="D30" s="51">
        <f>D9*(D4*D12/D16+D10)/D16*D12*2.2046</f>
        <v>10.869588991735535</v>
      </c>
      <c r="H30" s="15" t="s">
        <v>251</v>
      </c>
    </row>
    <row r="31" spans="2:12" x14ac:dyDescent="0.25">
      <c r="I31" t="s">
        <v>249</v>
      </c>
      <c r="J31" t="s">
        <v>254</v>
      </c>
      <c r="L31" t="s">
        <v>257</v>
      </c>
    </row>
    <row r="32" spans="2:12" x14ac:dyDescent="0.25">
      <c r="I32" t="s">
        <v>31</v>
      </c>
      <c r="J32" s="50" t="s">
        <v>34</v>
      </c>
    </row>
    <row r="33" spans="8:13" x14ac:dyDescent="0.25">
      <c r="H33" t="s">
        <v>252</v>
      </c>
      <c r="I33" t="s">
        <v>253</v>
      </c>
      <c r="M33" s="15" t="s">
        <v>255</v>
      </c>
    </row>
    <row r="34" spans="8:13" x14ac:dyDescent="0.25">
      <c r="H34" t="s">
        <v>256</v>
      </c>
      <c r="I34" s="50" t="s">
        <v>32</v>
      </c>
      <c r="M34" t="s">
        <v>258</v>
      </c>
    </row>
  </sheetData>
  <phoneticPr fontId="18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1A5C3-9A03-4086-92D6-37651AECC445}">
  <sheetPr transitionEvaluation="1" transitionEntry="1"/>
  <dimension ref="A1:U18"/>
  <sheetViews>
    <sheetView showGridLines="0" workbookViewId="0"/>
  </sheetViews>
  <sheetFormatPr defaultRowHeight="15" x14ac:dyDescent="0.25"/>
  <cols>
    <col min="1" max="1" width="26.85546875" customWidth="1"/>
    <col min="7" max="7" width="9.5703125" bestFit="1" customWidth="1"/>
  </cols>
  <sheetData>
    <row r="1" spans="1:2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1" x14ac:dyDescent="0.25">
      <c r="B2" s="1"/>
      <c r="C2" s="1" t="s">
        <v>407</v>
      </c>
      <c r="D2" s="1"/>
      <c r="E2" s="1"/>
      <c r="F2" s="1"/>
      <c r="G2" s="1" t="s">
        <v>406</v>
      </c>
      <c r="H2" s="1"/>
      <c r="I2" s="1"/>
      <c r="J2" s="1"/>
      <c r="K2" s="1"/>
      <c r="L2" s="1"/>
      <c r="M2" s="1"/>
    </row>
    <row r="3" spans="1:21" ht="15" customHeight="1" x14ac:dyDescent="0.25">
      <c r="B3" s="1" t="s">
        <v>5</v>
      </c>
      <c r="C3" s="1" t="s">
        <v>405</v>
      </c>
      <c r="D3" s="1" t="s">
        <v>405</v>
      </c>
      <c r="E3" s="1" t="s">
        <v>404</v>
      </c>
      <c r="F3" s="249" t="s">
        <v>403</v>
      </c>
      <c r="G3" s="1" t="s">
        <v>402</v>
      </c>
      <c r="H3" s="1" t="s">
        <v>402</v>
      </c>
      <c r="I3" s="1" t="s">
        <v>5</v>
      </c>
      <c r="J3" s="1"/>
      <c r="K3" s="1"/>
      <c r="L3" s="1" t="s">
        <v>401</v>
      </c>
      <c r="M3" s="1" t="s">
        <v>400</v>
      </c>
      <c r="N3" s="1" t="s">
        <v>399</v>
      </c>
      <c r="O3" s="1" t="s">
        <v>398</v>
      </c>
      <c r="T3" t="s">
        <v>397</v>
      </c>
    </row>
    <row r="4" spans="1:21" ht="15" customHeight="1" x14ac:dyDescent="0.25">
      <c r="B4" s="247" t="s">
        <v>6</v>
      </c>
      <c r="C4" s="247" t="s">
        <v>395</v>
      </c>
      <c r="D4" s="248" t="s">
        <v>396</v>
      </c>
      <c r="E4" s="247" t="s">
        <v>392</v>
      </c>
      <c r="F4" s="247" t="s">
        <v>392</v>
      </c>
      <c r="G4" s="248" t="s">
        <v>396</v>
      </c>
      <c r="H4" s="247" t="s">
        <v>395</v>
      </c>
      <c r="I4" s="247" t="s">
        <v>6</v>
      </c>
      <c r="J4" s="1"/>
      <c r="K4" s="1"/>
      <c r="L4" s="248" t="s">
        <v>394</v>
      </c>
      <c r="M4" s="247" t="s">
        <v>393</v>
      </c>
      <c r="N4" s="247" t="s">
        <v>392</v>
      </c>
      <c r="O4" s="247" t="s">
        <v>392</v>
      </c>
      <c r="T4" s="62">
        <v>48</v>
      </c>
      <c r="U4" s="245" t="s">
        <v>391</v>
      </c>
    </row>
    <row r="5" spans="1:21" ht="15.95" customHeight="1" x14ac:dyDescent="0.25">
      <c r="A5" s="15" t="s">
        <v>390</v>
      </c>
      <c r="B5" s="6">
        <v>77</v>
      </c>
      <c r="C5">
        <f>B5/(PI()/4*(48/25.4)^2)</f>
        <v>27.45274665818706</v>
      </c>
      <c r="D5">
        <f>C5+14.7</f>
        <v>42.152746658187056</v>
      </c>
      <c r="E5" s="6">
        <v>612.9</v>
      </c>
      <c r="F5" s="6">
        <v>214.8</v>
      </c>
      <c r="G5">
        <f>D5*(E5/F5)^1.38</f>
        <v>179.14976941828988</v>
      </c>
      <c r="H5" s="1">
        <f>G5-14.7</f>
        <v>164.44976941828989</v>
      </c>
      <c r="I5">
        <f>H5*(PI()/4*(48/25.4)^2)</f>
        <v>461.25192509406065</v>
      </c>
      <c r="J5" s="1"/>
      <c r="K5" s="1"/>
      <c r="L5" s="6">
        <v>22</v>
      </c>
      <c r="M5" s="1">
        <v>18.096</v>
      </c>
      <c r="N5" s="4">
        <f>L5*M5</f>
        <v>398.11200000000002</v>
      </c>
      <c r="O5" s="6">
        <v>625.54999999999995</v>
      </c>
      <c r="T5" s="13">
        <f>(PI()/4*(T4/25.4)^2)</f>
        <v>2.8048195307640293</v>
      </c>
      <c r="U5" s="245" t="s">
        <v>128</v>
      </c>
    </row>
    <row r="6" spans="1:21" ht="15.95" customHeight="1" x14ac:dyDescent="0.25">
      <c r="A6" s="15" t="s">
        <v>389</v>
      </c>
      <c r="B6" s="6">
        <v>77</v>
      </c>
      <c r="C6">
        <v>-4.8326801047337113</v>
      </c>
      <c r="D6">
        <f>C6+14.7</f>
        <v>9.8673198952662879</v>
      </c>
      <c r="E6" s="6">
        <v>612.9</v>
      </c>
      <c r="F6" s="6">
        <v>214.8</v>
      </c>
      <c r="G6">
        <f>D6*(E6/F6)^1.38</f>
        <v>41.936249097782699</v>
      </c>
      <c r="H6" s="1">
        <f>G6-14.7</f>
        <v>27.2362490977827</v>
      </c>
      <c r="I6">
        <f>H6*(PI()/4*(48/25.4)^2)</f>
        <v>76.392763414215096</v>
      </c>
      <c r="J6" s="1"/>
      <c r="K6" s="1"/>
      <c r="O6" s="246">
        <f>-N5</f>
        <v>-398.11200000000002</v>
      </c>
      <c r="P6" t="s">
        <v>388</v>
      </c>
      <c r="T6" s="65">
        <f>T5*2.54^2</f>
        <v>18.095573684677213</v>
      </c>
      <c r="U6" s="245" t="s">
        <v>100</v>
      </c>
    </row>
    <row r="7" spans="1:21" ht="15.95" customHeight="1" x14ac:dyDescent="0.25">
      <c r="A7" s="15" t="s">
        <v>387</v>
      </c>
      <c r="B7" s="6">
        <v>77</v>
      </c>
      <c r="C7">
        <v>-1.0770663527402116</v>
      </c>
      <c r="D7">
        <f>C7+14.7</f>
        <v>13.622933647259789</v>
      </c>
      <c r="E7" s="6">
        <v>612.9</v>
      </c>
      <c r="F7" s="6">
        <v>214.8</v>
      </c>
      <c r="G7">
        <f>D7*(E7/F7)^1.38</f>
        <v>57.897660655364255</v>
      </c>
      <c r="H7" s="1">
        <f>G7-14.7</f>
        <v>43.19766065536426</v>
      </c>
      <c r="I7">
        <f>H7*(PI()/4*(48/25.4)^2)</f>
        <v>121.16164228948256</v>
      </c>
      <c r="J7" s="1"/>
      <c r="K7" s="1"/>
      <c r="O7" s="4">
        <f>SUM(O5:O6)</f>
        <v>227.43799999999993</v>
      </c>
    </row>
    <row r="8" spans="1:21" ht="15.95" customHeight="1" x14ac:dyDescent="0.25">
      <c r="A8" s="15" t="s">
        <v>386</v>
      </c>
      <c r="B8" s="6"/>
      <c r="E8" s="6"/>
      <c r="F8" s="6"/>
      <c r="H8" s="1"/>
      <c r="J8" s="1"/>
      <c r="K8" s="1"/>
      <c r="O8" s="4"/>
      <c r="T8">
        <v>337.44600000000003</v>
      </c>
    </row>
    <row r="9" spans="1:21" ht="15.95" customHeight="1" thickBot="1" x14ac:dyDescent="0.3">
      <c r="A9" s="15" t="s">
        <v>385</v>
      </c>
      <c r="B9" s="6"/>
      <c r="E9" s="6"/>
      <c r="F9" s="6"/>
      <c r="H9" s="1"/>
      <c r="K9" s="1"/>
      <c r="N9" s="62">
        <v>625.54999999999995</v>
      </c>
      <c r="O9" s="62">
        <v>227.45</v>
      </c>
      <c r="R9" s="1"/>
      <c r="S9" s="1"/>
      <c r="T9">
        <v>38.607999999999997</v>
      </c>
    </row>
    <row r="10" spans="1:21" ht="15.95" customHeight="1" x14ac:dyDescent="0.25">
      <c r="A10" s="15" t="s">
        <v>384</v>
      </c>
      <c r="B10" s="244"/>
      <c r="C10" s="243">
        <v>0</v>
      </c>
      <c r="D10" s="218">
        <f>C10+14.7</f>
        <v>14.7</v>
      </c>
      <c r="E10" s="243">
        <v>612.9</v>
      </c>
      <c r="F10" s="243">
        <v>214.8</v>
      </c>
      <c r="G10" s="242">
        <f>D10*(E10/F10)^1</f>
        <v>41.944273743016751</v>
      </c>
      <c r="H10" s="242">
        <f>G10-14.7</f>
        <v>27.244273743016752</v>
      </c>
      <c r="I10" s="242">
        <f>H10*(PI()/4*(48/25.4)^2)</f>
        <v>76.415271095895008</v>
      </c>
      <c r="J10" s="241" t="s">
        <v>380</v>
      </c>
      <c r="K10" s="219"/>
      <c r="L10" s="240"/>
      <c r="M10" s="1"/>
      <c r="N10" s="62">
        <v>-612.9</v>
      </c>
      <c r="O10" s="62">
        <v>-214.8</v>
      </c>
      <c r="R10" s="1"/>
      <c r="S10" s="1"/>
      <c r="T10">
        <v>591.95699999999999</v>
      </c>
    </row>
    <row r="11" spans="1:21" ht="15.95" customHeight="1" thickBot="1" x14ac:dyDescent="0.3">
      <c r="B11" s="239"/>
      <c r="C11" s="237">
        <v>0</v>
      </c>
      <c r="D11" s="238">
        <f>C11+14.7</f>
        <v>14.7</v>
      </c>
      <c r="E11" s="237">
        <v>612.9</v>
      </c>
      <c r="F11" s="237">
        <v>214.8</v>
      </c>
      <c r="G11" s="236">
        <f>D11*(E11/F11)^1.38</f>
        <v>62.475207886302066</v>
      </c>
      <c r="H11" s="236">
        <f>G11-14.7</f>
        <v>47.77520788630207</v>
      </c>
      <c r="I11" s="236">
        <f>H11*(PI()/4*(48/25.4)^2)</f>
        <v>134.00083616581173</v>
      </c>
      <c r="J11" s="235" t="s">
        <v>378</v>
      </c>
      <c r="K11" s="233"/>
      <c r="L11" s="234"/>
      <c r="N11">
        <f>SUM(N9:N10)</f>
        <v>12.649999999999977</v>
      </c>
      <c r="O11">
        <f>SUM(O9:O10)</f>
        <v>12.649999999999977</v>
      </c>
      <c r="R11" s="1"/>
      <c r="S11" s="1"/>
      <c r="T11">
        <f>SUM(T8:T10)</f>
        <v>968.01099999999997</v>
      </c>
    </row>
    <row r="12" spans="1:21" ht="15.95" customHeight="1" x14ac:dyDescent="0.25">
      <c r="B12" s="6"/>
      <c r="C12" s="6"/>
      <c r="D12" s="1"/>
      <c r="E12" s="6"/>
      <c r="F12" s="6"/>
      <c r="G12" s="4"/>
      <c r="H12" s="4"/>
      <c r="I12" s="4"/>
      <c r="J12" s="103"/>
      <c r="R12" s="1"/>
      <c r="S12" s="1"/>
    </row>
    <row r="13" spans="1:21" ht="15.95" customHeight="1" x14ac:dyDescent="0.25">
      <c r="B13" s="1"/>
      <c r="G13" s="65"/>
      <c r="H13" s="65"/>
      <c r="I13" s="65"/>
      <c r="R13" s="1"/>
      <c r="S13" s="1"/>
    </row>
    <row r="14" spans="1:21" ht="15.95" customHeight="1" x14ac:dyDescent="0.25">
      <c r="C14" s="6">
        <v>0</v>
      </c>
      <c r="D14" s="1">
        <f>C14+14.7</f>
        <v>14.7</v>
      </c>
      <c r="E14" s="6">
        <v>612.9</v>
      </c>
      <c r="F14" s="6">
        <v>214.8</v>
      </c>
      <c r="G14" s="4">
        <f>D14*(E14/F14)^1.38</f>
        <v>62.475207886302066</v>
      </c>
      <c r="H14" s="4">
        <f>G14-14.7</f>
        <v>47.77520788630207</v>
      </c>
      <c r="I14" s="4">
        <f>H14*(PI()/4*(48/25.4)^2)</f>
        <v>134.00083616581173</v>
      </c>
      <c r="J14" t="s">
        <v>383</v>
      </c>
    </row>
    <row r="15" spans="1:21" ht="15.95" customHeight="1" x14ac:dyDescent="0.25">
      <c r="C15" s="6">
        <v>0</v>
      </c>
      <c r="D15" s="1">
        <f>C15+14.7</f>
        <v>14.7</v>
      </c>
      <c r="E15" s="6">
        <v>625.54999999999995</v>
      </c>
      <c r="F15" s="6">
        <v>227.45</v>
      </c>
      <c r="G15" s="4">
        <f>D15*(E15/F15)^1.38</f>
        <v>59.382207084010609</v>
      </c>
      <c r="H15" s="4">
        <f>G15-14.7</f>
        <v>44.682207084010614</v>
      </c>
      <c r="I15" s="4">
        <f>H15*(PI()/4*(48/25.4)^2)</f>
        <v>125.32552710687584</v>
      </c>
      <c r="J15" t="s">
        <v>383</v>
      </c>
      <c r="M15" s="15" t="s">
        <v>382</v>
      </c>
    </row>
    <row r="16" spans="1:21" ht="15.95" customHeight="1" x14ac:dyDescent="0.25">
      <c r="G16" s="65"/>
      <c r="H16" s="65"/>
      <c r="I16" s="65"/>
    </row>
    <row r="17" spans="2:13" ht="15.95" customHeight="1" x14ac:dyDescent="0.25">
      <c r="B17" t="s">
        <v>381</v>
      </c>
      <c r="C17" s="6">
        <v>0</v>
      </c>
      <c r="D17" s="1">
        <f>C17+14.7</f>
        <v>14.7</v>
      </c>
      <c r="E17" s="6">
        <v>625</v>
      </c>
      <c r="F17" s="6">
        <v>227</v>
      </c>
      <c r="G17" s="4">
        <f>D17*(E17/F17)^1</f>
        <v>40.47356828193832</v>
      </c>
      <c r="H17" s="4">
        <f>G17-14.7</f>
        <v>25.773568281938321</v>
      </c>
      <c r="I17" s="4">
        <f>H17*(PI()/4*(48/25.4)^2)</f>
        <v>72.290207694660907</v>
      </c>
      <c r="J17" s="15" t="s">
        <v>380</v>
      </c>
      <c r="L17" s="1"/>
      <c r="M17" t="s">
        <v>379</v>
      </c>
    </row>
    <row r="18" spans="2:13" ht="15.95" customHeight="1" x14ac:dyDescent="0.25">
      <c r="C18" s="6">
        <v>0</v>
      </c>
      <c r="D18" s="1">
        <f>C18+14.7</f>
        <v>14.7</v>
      </c>
      <c r="E18" s="6">
        <v>625</v>
      </c>
      <c r="F18" s="6">
        <v>227</v>
      </c>
      <c r="G18" s="4">
        <f>D18*(E18/F18)^1.38</f>
        <v>59.472483672380726</v>
      </c>
      <c r="H18" s="4">
        <f>G18-14.7</f>
        <v>44.77248367238073</v>
      </c>
      <c r="I18" s="4">
        <f>H18*(PI()/4*(48/25.4)^2)</f>
        <v>125.57873664510709</v>
      </c>
      <c r="J18" s="103" t="s">
        <v>378</v>
      </c>
      <c r="M18" t="s">
        <v>377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F3C4-DCBB-471D-97C2-A2A6CC5D9A26}">
  <sheetPr transitionEvaluation="1" transitionEntry="1"/>
  <dimension ref="A1:V44"/>
  <sheetViews>
    <sheetView showGridLines="0" zoomScaleNormal="100" workbookViewId="0">
      <selection activeCell="X24" sqref="X24"/>
    </sheetView>
  </sheetViews>
  <sheetFormatPr defaultRowHeight="15" x14ac:dyDescent="0.25"/>
  <cols>
    <col min="4" max="4" width="18.28515625" customWidth="1"/>
    <col min="5" max="7" width="5.7109375" customWidth="1"/>
    <col min="11" max="11" width="7.7109375" customWidth="1"/>
    <col min="16" max="18" width="5.7109375" customWidth="1"/>
    <col min="22" max="22" width="7.7109375" customWidth="1"/>
  </cols>
  <sheetData>
    <row r="1" spans="1:22" ht="15" customHeight="1" x14ac:dyDescent="0.25"/>
    <row r="2" spans="1:22" ht="15" customHeight="1" x14ac:dyDescent="0.3">
      <c r="A2" s="60" t="s">
        <v>375</v>
      </c>
      <c r="D2" s="180"/>
      <c r="E2" s="184" t="s">
        <v>327</v>
      </c>
      <c r="F2" s="185"/>
      <c r="G2" s="186"/>
      <c r="H2" s="186"/>
      <c r="I2" s="186"/>
      <c r="J2" s="186"/>
      <c r="K2" s="187" t="s">
        <v>346</v>
      </c>
      <c r="O2" s="180"/>
      <c r="P2" s="184" t="s">
        <v>327</v>
      </c>
      <c r="Q2" s="185"/>
      <c r="R2" s="186"/>
      <c r="S2" s="186"/>
      <c r="T2" s="186"/>
      <c r="U2" s="186"/>
      <c r="V2" s="187" t="s">
        <v>346</v>
      </c>
    </row>
    <row r="3" spans="1:22" ht="15" customHeight="1" x14ac:dyDescent="0.3">
      <c r="A3" t="s">
        <v>408</v>
      </c>
      <c r="E3" s="188" t="s">
        <v>329</v>
      </c>
      <c r="F3" s="189"/>
      <c r="G3" s="189"/>
      <c r="H3" s="189"/>
      <c r="I3" s="189"/>
      <c r="J3" s="190" t="s">
        <v>334</v>
      </c>
      <c r="K3" s="191"/>
      <c r="P3" s="188" t="s">
        <v>330</v>
      </c>
      <c r="Q3" s="189"/>
      <c r="R3" s="189"/>
      <c r="S3" s="189"/>
      <c r="T3" s="189"/>
      <c r="U3" s="190" t="s">
        <v>336</v>
      </c>
      <c r="V3" s="191"/>
    </row>
    <row r="4" spans="1:22" ht="15" customHeight="1" x14ac:dyDescent="0.3">
      <c r="A4" t="s">
        <v>409</v>
      </c>
      <c r="E4" s="209" t="s">
        <v>332</v>
      </c>
      <c r="F4" s="192"/>
      <c r="G4" s="192"/>
      <c r="H4" s="192"/>
      <c r="I4" s="192"/>
      <c r="J4" s="192"/>
      <c r="K4" s="193"/>
      <c r="P4" s="209" t="s">
        <v>333</v>
      </c>
      <c r="Q4" s="192"/>
      <c r="R4" s="192"/>
      <c r="S4" s="192"/>
      <c r="T4" s="192"/>
      <c r="U4" s="192"/>
      <c r="V4" s="193"/>
    </row>
    <row r="5" spans="1:22" ht="15" customHeight="1" x14ac:dyDescent="0.3">
      <c r="A5" t="s">
        <v>410</v>
      </c>
      <c r="E5" s="194">
        <v>1.012</v>
      </c>
      <c r="F5" s="195" t="s">
        <v>335</v>
      </c>
      <c r="G5" s="210" t="s">
        <v>345</v>
      </c>
      <c r="H5" s="196"/>
      <c r="I5" s="192"/>
      <c r="J5" s="192"/>
      <c r="K5" s="193"/>
      <c r="P5" s="194">
        <v>0.88</v>
      </c>
      <c r="Q5" s="195" t="s">
        <v>337</v>
      </c>
      <c r="R5" s="210" t="s">
        <v>345</v>
      </c>
      <c r="S5" s="196"/>
      <c r="T5" s="192"/>
      <c r="U5" s="192"/>
      <c r="V5" s="193"/>
    </row>
    <row r="6" spans="1:22" ht="15" customHeight="1" x14ac:dyDescent="0.3">
      <c r="A6" t="s">
        <v>411</v>
      </c>
      <c r="E6" s="197"/>
      <c r="F6" s="198"/>
      <c r="G6" s="210" t="s">
        <v>344</v>
      </c>
      <c r="H6" s="196"/>
      <c r="I6" s="192"/>
      <c r="J6" s="192"/>
      <c r="K6" s="193"/>
      <c r="P6" s="197"/>
      <c r="Q6" s="198"/>
      <c r="R6" s="210" t="s">
        <v>344</v>
      </c>
      <c r="S6" s="196"/>
      <c r="T6" s="192"/>
      <c r="U6" s="192"/>
      <c r="V6" s="193"/>
    </row>
    <row r="7" spans="1:22" ht="15" customHeight="1" x14ac:dyDescent="0.3">
      <c r="E7" s="197"/>
      <c r="F7" s="198"/>
      <c r="G7" s="195" t="s">
        <v>326</v>
      </c>
      <c r="H7" s="192"/>
      <c r="I7" s="192"/>
      <c r="J7" s="192"/>
      <c r="K7" s="193"/>
      <c r="P7" s="197"/>
      <c r="Q7" s="198"/>
      <c r="R7" s="195" t="s">
        <v>326</v>
      </c>
      <c r="S7" s="211"/>
      <c r="T7" s="211"/>
      <c r="U7" s="211"/>
      <c r="V7" s="212"/>
    </row>
    <row r="8" spans="1:22" ht="15" customHeight="1" x14ac:dyDescent="0.3">
      <c r="C8" s="50" t="s">
        <v>324</v>
      </c>
      <c r="E8" s="199" t="s">
        <v>323</v>
      </c>
      <c r="F8" s="200" t="s">
        <v>322</v>
      </c>
      <c r="G8" s="195" t="s">
        <v>325</v>
      </c>
      <c r="H8" s="192"/>
      <c r="I8" s="192"/>
      <c r="J8" s="192"/>
      <c r="K8" s="193"/>
      <c r="N8" s="50" t="s">
        <v>324</v>
      </c>
      <c r="P8" s="199" t="s">
        <v>323</v>
      </c>
      <c r="Q8" s="200" t="s">
        <v>322</v>
      </c>
      <c r="R8" s="195" t="s">
        <v>325</v>
      </c>
      <c r="S8" s="211"/>
      <c r="T8" s="211"/>
      <c r="U8" s="211"/>
      <c r="V8" s="212"/>
    </row>
    <row r="9" spans="1:22" ht="15" customHeight="1" x14ac:dyDescent="0.25">
      <c r="C9" s="179">
        <v>10</v>
      </c>
      <c r="E9" s="182">
        <v>215</v>
      </c>
      <c r="F9" s="183">
        <v>255</v>
      </c>
      <c r="G9" s="181">
        <f>E9/F9</f>
        <v>0.84313725490196079</v>
      </c>
      <c r="H9" s="192"/>
      <c r="I9" s="192"/>
      <c r="J9" s="192"/>
      <c r="K9" s="193"/>
      <c r="N9" s="179">
        <v>10</v>
      </c>
      <c r="P9" s="182">
        <v>201</v>
      </c>
      <c r="Q9" s="183">
        <v>210</v>
      </c>
      <c r="R9" s="181">
        <f>P9/Q9</f>
        <v>0.95714285714285718</v>
      </c>
      <c r="S9" s="211"/>
      <c r="T9" s="211"/>
      <c r="U9" s="211"/>
      <c r="V9" s="212"/>
    </row>
    <row r="10" spans="1:22" ht="15" customHeight="1" x14ac:dyDescent="0.25">
      <c r="C10" s="179">
        <v>30</v>
      </c>
      <c r="E10" s="201">
        <v>281</v>
      </c>
      <c r="F10" s="202">
        <v>304</v>
      </c>
      <c r="G10" s="203">
        <f t="shared" ref="G10:G18" si="0">E10/F10</f>
        <v>0.92434210526315785</v>
      </c>
      <c r="H10" s="192"/>
      <c r="I10" s="192"/>
      <c r="J10" s="192"/>
      <c r="K10" s="193"/>
      <c r="N10" s="179">
        <v>30</v>
      </c>
      <c r="P10" s="201">
        <v>265</v>
      </c>
      <c r="Q10" s="202">
        <v>248</v>
      </c>
      <c r="R10" s="203">
        <f t="shared" ref="R10:R18" si="1">P10/Q10</f>
        <v>1.0685483870967742</v>
      </c>
      <c r="S10" s="211"/>
      <c r="T10" s="211"/>
      <c r="U10" s="211"/>
      <c r="V10" s="212"/>
    </row>
    <row r="11" spans="1:22" ht="15" customHeight="1" x14ac:dyDescent="0.25">
      <c r="C11" s="179">
        <v>50</v>
      </c>
      <c r="E11" s="201">
        <v>349</v>
      </c>
      <c r="F11" s="202">
        <v>358</v>
      </c>
      <c r="G11" s="203">
        <f t="shared" si="0"/>
        <v>0.97486033519553073</v>
      </c>
      <c r="H11" s="192"/>
      <c r="I11" s="192"/>
      <c r="J11" s="192"/>
      <c r="K11" s="193"/>
      <c r="N11" s="179">
        <v>50</v>
      </c>
      <c r="P11" s="201">
        <v>332</v>
      </c>
      <c r="Q11" s="202">
        <v>289</v>
      </c>
      <c r="R11" s="203">
        <f t="shared" si="1"/>
        <v>1.1487889273356402</v>
      </c>
      <c r="S11" s="211"/>
      <c r="T11" s="211"/>
      <c r="U11" s="211"/>
      <c r="V11" s="212"/>
    </row>
    <row r="12" spans="1:22" ht="15" customHeight="1" x14ac:dyDescent="0.25">
      <c r="C12" s="179">
        <v>70</v>
      </c>
      <c r="E12" s="182">
        <v>420</v>
      </c>
      <c r="F12" s="183">
        <v>419</v>
      </c>
      <c r="G12" s="181">
        <f t="shared" si="0"/>
        <v>1.0023866348448687</v>
      </c>
      <c r="H12" s="192"/>
      <c r="I12" s="192"/>
      <c r="J12" s="192"/>
      <c r="K12" s="193"/>
      <c r="N12" s="179">
        <v>70</v>
      </c>
      <c r="P12" s="182">
        <v>404</v>
      </c>
      <c r="Q12" s="183">
        <v>335</v>
      </c>
      <c r="R12" s="181">
        <f t="shared" si="1"/>
        <v>1.2059701492537314</v>
      </c>
      <c r="S12" s="211"/>
      <c r="T12" s="211"/>
      <c r="U12" s="211"/>
      <c r="V12" s="212"/>
    </row>
    <row r="13" spans="1:22" ht="15" customHeight="1" x14ac:dyDescent="0.25">
      <c r="C13" s="179">
        <v>90</v>
      </c>
      <c r="E13" s="201">
        <v>493</v>
      </c>
      <c r="F13" s="202">
        <v>489</v>
      </c>
      <c r="G13" s="203">
        <f t="shared" si="0"/>
        <v>1.0081799591002045</v>
      </c>
      <c r="H13" s="192"/>
      <c r="I13" s="192"/>
      <c r="J13" s="192"/>
      <c r="K13" s="193"/>
      <c r="N13" s="179">
        <v>90</v>
      </c>
      <c r="P13" s="201">
        <v>481</v>
      </c>
      <c r="Q13" s="202">
        <v>388</v>
      </c>
      <c r="R13" s="203">
        <f t="shared" si="1"/>
        <v>1.2396907216494846</v>
      </c>
      <c r="S13" s="211"/>
      <c r="T13" s="211"/>
      <c r="U13" s="211"/>
      <c r="V13" s="212"/>
    </row>
    <row r="14" spans="1:22" ht="15" customHeight="1" x14ac:dyDescent="0.25">
      <c r="C14" s="179">
        <v>110</v>
      </c>
      <c r="E14" s="201">
        <v>570</v>
      </c>
      <c r="F14" s="202">
        <v>569</v>
      </c>
      <c r="G14" s="203">
        <f t="shared" si="0"/>
        <v>1.0017574692442883</v>
      </c>
      <c r="H14" s="192"/>
      <c r="I14" s="192"/>
      <c r="J14" s="192"/>
      <c r="K14" s="193"/>
      <c r="N14" s="179">
        <v>110</v>
      </c>
      <c r="P14" s="201">
        <v>567</v>
      </c>
      <c r="Q14" s="202">
        <v>448</v>
      </c>
      <c r="R14" s="203">
        <f t="shared" si="1"/>
        <v>1.265625</v>
      </c>
      <c r="S14" s="211"/>
      <c r="T14" s="211"/>
      <c r="U14" s="211"/>
      <c r="V14" s="212"/>
    </row>
    <row r="15" spans="1:22" ht="15" customHeight="1" x14ac:dyDescent="0.25">
      <c r="C15" s="179">
        <v>130</v>
      </c>
      <c r="E15" s="182">
        <v>653</v>
      </c>
      <c r="F15" s="183">
        <v>665</v>
      </c>
      <c r="G15" s="181">
        <f t="shared" si="0"/>
        <v>0.98195488721804514</v>
      </c>
      <c r="H15" s="192"/>
      <c r="I15" s="192"/>
      <c r="J15" s="192"/>
      <c r="K15" s="193"/>
      <c r="N15" s="179">
        <v>130</v>
      </c>
      <c r="P15" s="182">
        <v>666</v>
      </c>
      <c r="Q15" s="183">
        <v>519</v>
      </c>
      <c r="R15" s="181">
        <f t="shared" si="1"/>
        <v>1.2832369942196531</v>
      </c>
      <c r="S15" s="211"/>
      <c r="T15" s="211"/>
      <c r="U15" s="211"/>
      <c r="V15" s="212"/>
    </row>
    <row r="16" spans="1:22" ht="15" customHeight="1" x14ac:dyDescent="0.25">
      <c r="C16" s="179">
        <v>150</v>
      </c>
      <c r="E16" s="201">
        <v>743</v>
      </c>
      <c r="F16" s="202">
        <v>785</v>
      </c>
      <c r="G16" s="203">
        <f t="shared" si="0"/>
        <v>0.94649681528662422</v>
      </c>
      <c r="H16" s="192"/>
      <c r="I16" s="192"/>
      <c r="J16" s="192"/>
      <c r="K16" s="193"/>
      <c r="N16" s="179">
        <v>150</v>
      </c>
      <c r="P16" s="201">
        <v>787</v>
      </c>
      <c r="Q16" s="202">
        <v>606</v>
      </c>
      <c r="R16" s="203">
        <f t="shared" si="1"/>
        <v>1.2986798679867986</v>
      </c>
      <c r="S16" s="211"/>
      <c r="T16" s="211"/>
      <c r="U16" s="211"/>
      <c r="V16" s="212"/>
    </row>
    <row r="17" spans="3:22" ht="15" customHeight="1" x14ac:dyDescent="0.25">
      <c r="C17" s="179">
        <v>170</v>
      </c>
      <c r="E17" s="201">
        <v>844</v>
      </c>
      <c r="F17" s="202">
        <v>942</v>
      </c>
      <c r="G17" s="203">
        <f t="shared" si="0"/>
        <v>0.89596602972399153</v>
      </c>
      <c r="H17" s="192"/>
      <c r="I17" s="192"/>
      <c r="J17" s="192"/>
      <c r="K17" s="193"/>
      <c r="N17" s="179">
        <v>170</v>
      </c>
      <c r="P17" s="201">
        <v>947</v>
      </c>
      <c r="Q17" s="202">
        <v>718</v>
      </c>
      <c r="R17" s="203">
        <f t="shared" si="1"/>
        <v>1.318941504178273</v>
      </c>
      <c r="S17" s="211"/>
      <c r="T17" s="211"/>
      <c r="U17" s="211"/>
      <c r="V17" s="212"/>
    </row>
    <row r="18" spans="3:22" ht="15" customHeight="1" x14ac:dyDescent="0.25">
      <c r="C18" s="179">
        <v>190</v>
      </c>
      <c r="E18" s="182">
        <v>964</v>
      </c>
      <c r="F18" s="183">
        <v>1167</v>
      </c>
      <c r="G18" s="181">
        <f t="shared" si="0"/>
        <v>0.82604970008568979</v>
      </c>
      <c r="H18" s="192"/>
      <c r="I18" s="192"/>
      <c r="J18" s="192"/>
      <c r="K18" s="193"/>
      <c r="N18" s="179">
        <v>190</v>
      </c>
      <c r="P18" s="182">
        <v>1188</v>
      </c>
      <c r="Q18" s="183">
        <v>876</v>
      </c>
      <c r="R18" s="181">
        <f t="shared" si="1"/>
        <v>1.3561643835616439</v>
      </c>
      <c r="S18" s="211"/>
      <c r="T18" s="211"/>
      <c r="U18" s="211"/>
      <c r="V18" s="212"/>
    </row>
    <row r="19" spans="3:22" ht="15" customHeight="1" x14ac:dyDescent="0.25">
      <c r="C19" s="179">
        <v>210</v>
      </c>
      <c r="E19" s="204">
        <v>1114</v>
      </c>
      <c r="F19" s="205">
        <v>0</v>
      </c>
      <c r="G19" s="206"/>
      <c r="H19" s="207"/>
      <c r="I19" s="207"/>
      <c r="J19" s="207"/>
      <c r="K19" s="208"/>
      <c r="N19" s="179">
        <v>210</v>
      </c>
      <c r="P19" s="204">
        <v>1638</v>
      </c>
      <c r="Q19" s="205">
        <v>1074</v>
      </c>
      <c r="R19" s="206"/>
      <c r="S19" s="213"/>
      <c r="T19" s="213"/>
      <c r="U19" s="213"/>
      <c r="V19" s="214"/>
    </row>
    <row r="20" spans="3:22" ht="15" customHeight="1" x14ac:dyDescent="0.25">
      <c r="J20" s="1"/>
      <c r="K20" s="1"/>
    </row>
    <row r="21" spans="3:22" ht="15" customHeight="1" x14ac:dyDescent="0.25"/>
    <row r="22" spans="3:22" ht="15" customHeight="1" x14ac:dyDescent="0.3">
      <c r="D22" s="180"/>
      <c r="E22" s="184" t="s">
        <v>327</v>
      </c>
      <c r="F22" s="185"/>
      <c r="G22" s="186"/>
      <c r="H22" s="186"/>
      <c r="I22" s="186"/>
      <c r="J22" s="186"/>
      <c r="K22" s="187" t="s">
        <v>346</v>
      </c>
      <c r="P22" s="184" t="s">
        <v>327</v>
      </c>
      <c r="Q22" s="185"/>
      <c r="R22" s="186"/>
      <c r="S22" s="186"/>
      <c r="T22" s="186"/>
      <c r="U22" s="186"/>
      <c r="V22" s="187" t="s">
        <v>346</v>
      </c>
    </row>
    <row r="23" spans="3:22" ht="15" customHeight="1" x14ac:dyDescent="0.3">
      <c r="E23" s="188" t="s">
        <v>328</v>
      </c>
      <c r="F23" s="189"/>
      <c r="G23" s="189"/>
      <c r="H23" s="189"/>
      <c r="I23" s="189"/>
      <c r="J23" s="190" t="s">
        <v>338</v>
      </c>
      <c r="K23" s="191"/>
      <c r="P23" s="188" t="s">
        <v>331</v>
      </c>
      <c r="Q23" s="189"/>
      <c r="R23" s="189"/>
      <c r="S23" s="189"/>
      <c r="T23" s="189"/>
      <c r="U23" s="190" t="s">
        <v>343</v>
      </c>
      <c r="V23" s="191"/>
    </row>
    <row r="24" spans="3:22" ht="15" customHeight="1" x14ac:dyDescent="0.3">
      <c r="E24" s="209" t="s">
        <v>339</v>
      </c>
      <c r="F24" s="192"/>
      <c r="G24" s="192"/>
      <c r="H24" s="192"/>
      <c r="I24" s="192"/>
      <c r="J24" s="192"/>
      <c r="K24" s="193"/>
      <c r="P24" s="209" t="s">
        <v>341</v>
      </c>
      <c r="Q24" s="192"/>
      <c r="R24" s="192"/>
      <c r="S24" s="192"/>
      <c r="T24" s="192"/>
      <c r="U24" s="192"/>
      <c r="V24" s="193"/>
    </row>
    <row r="25" spans="3:22" ht="15" customHeight="1" x14ac:dyDescent="0.3">
      <c r="E25" s="194">
        <v>0.94399999999999995</v>
      </c>
      <c r="F25" s="195" t="s">
        <v>340</v>
      </c>
      <c r="G25" s="210" t="s">
        <v>345</v>
      </c>
      <c r="H25" s="196"/>
      <c r="I25" s="192"/>
      <c r="J25" s="192"/>
      <c r="K25" s="193"/>
      <c r="P25" s="194">
        <v>1.036</v>
      </c>
      <c r="Q25" s="195" t="s">
        <v>342</v>
      </c>
      <c r="R25" s="210" t="s">
        <v>345</v>
      </c>
      <c r="S25" s="196"/>
      <c r="T25" s="192"/>
      <c r="U25" s="192"/>
      <c r="V25" s="193"/>
    </row>
    <row r="26" spans="3:22" ht="15" customHeight="1" x14ac:dyDescent="0.3">
      <c r="E26" s="197"/>
      <c r="F26" s="198"/>
      <c r="G26" s="210" t="s">
        <v>344</v>
      </c>
      <c r="H26" s="196"/>
      <c r="I26" s="192"/>
      <c r="J26" s="192"/>
      <c r="K26" s="193"/>
      <c r="P26" s="197"/>
      <c r="Q26" s="198"/>
      <c r="R26" s="210" t="s">
        <v>344</v>
      </c>
      <c r="S26" s="196"/>
      <c r="T26" s="192"/>
      <c r="U26" s="192"/>
      <c r="V26" s="193"/>
    </row>
    <row r="27" spans="3:22" ht="15" customHeight="1" x14ac:dyDescent="0.3">
      <c r="E27" s="197"/>
      <c r="F27" s="198"/>
      <c r="G27" s="195" t="s">
        <v>326</v>
      </c>
      <c r="H27" s="211"/>
      <c r="I27" s="211"/>
      <c r="J27" s="211"/>
      <c r="K27" s="212"/>
      <c r="P27" s="197"/>
      <c r="Q27" s="198"/>
      <c r="R27" s="195" t="s">
        <v>326</v>
      </c>
      <c r="S27" s="211"/>
      <c r="T27" s="211"/>
      <c r="U27" s="211"/>
      <c r="V27" s="212"/>
    </row>
    <row r="28" spans="3:22" ht="15" customHeight="1" x14ac:dyDescent="0.3">
      <c r="C28" s="50" t="s">
        <v>324</v>
      </c>
      <c r="E28" s="199" t="s">
        <v>323</v>
      </c>
      <c r="F28" s="200" t="s">
        <v>322</v>
      </c>
      <c r="G28" s="195" t="s">
        <v>325</v>
      </c>
      <c r="H28" s="211"/>
      <c r="I28" s="211"/>
      <c r="J28" s="211"/>
      <c r="K28" s="212"/>
      <c r="N28" s="50" t="s">
        <v>324</v>
      </c>
      <c r="P28" s="199" t="s">
        <v>323</v>
      </c>
      <c r="Q28" s="200" t="s">
        <v>322</v>
      </c>
      <c r="R28" s="195" t="s">
        <v>325</v>
      </c>
      <c r="S28" s="211"/>
      <c r="T28" s="211"/>
      <c r="U28" s="211"/>
      <c r="V28" s="212"/>
    </row>
    <row r="29" spans="3:22" ht="15" customHeight="1" x14ac:dyDescent="0.25">
      <c r="C29" s="179">
        <v>10</v>
      </c>
      <c r="E29" s="182">
        <v>209</v>
      </c>
      <c r="F29" s="183">
        <v>217</v>
      </c>
      <c r="G29" s="181">
        <f>E29/F29</f>
        <v>0.96313364055299544</v>
      </c>
      <c r="H29" s="211"/>
      <c r="I29" s="211"/>
      <c r="J29" s="211"/>
      <c r="K29" s="212"/>
      <c r="N29" s="179">
        <v>10</v>
      </c>
      <c r="P29" s="182">
        <v>221</v>
      </c>
      <c r="Q29" s="183">
        <v>215</v>
      </c>
      <c r="R29" s="181">
        <f>P29/Q29</f>
        <v>1.027906976744186</v>
      </c>
      <c r="S29" s="211"/>
      <c r="T29" s="211"/>
      <c r="U29" s="211"/>
      <c r="V29" s="212"/>
    </row>
    <row r="30" spans="3:22" ht="15" customHeight="1" x14ac:dyDescent="0.25">
      <c r="C30" s="179">
        <v>30</v>
      </c>
      <c r="E30" s="201">
        <v>275</v>
      </c>
      <c r="F30" s="202">
        <v>258</v>
      </c>
      <c r="G30" s="203">
        <f t="shared" ref="G30:G38" si="2">E30/F30</f>
        <v>1.0658914728682169</v>
      </c>
      <c r="H30" s="211"/>
      <c r="I30" s="211"/>
      <c r="J30" s="211"/>
      <c r="K30" s="212"/>
      <c r="N30" s="179">
        <v>30</v>
      </c>
      <c r="P30" s="201">
        <v>292</v>
      </c>
      <c r="Q30" s="202">
        <v>255</v>
      </c>
      <c r="R30" s="203">
        <f t="shared" ref="R30:R38" si="3">P30/Q30</f>
        <v>1.1450980392156862</v>
      </c>
      <c r="S30" s="211"/>
      <c r="T30" s="211"/>
      <c r="U30" s="211"/>
      <c r="V30" s="212"/>
    </row>
    <row r="31" spans="3:22" ht="15" customHeight="1" x14ac:dyDescent="0.25">
      <c r="C31" s="179">
        <v>50</v>
      </c>
      <c r="E31" s="201">
        <v>344</v>
      </c>
      <c r="F31" s="202">
        <v>303</v>
      </c>
      <c r="G31" s="203">
        <f t="shared" si="2"/>
        <v>1.1353135313531353</v>
      </c>
      <c r="H31" s="211"/>
      <c r="I31" s="211"/>
      <c r="J31" s="211"/>
      <c r="K31" s="212"/>
      <c r="N31" s="179">
        <v>50</v>
      </c>
      <c r="P31" s="201">
        <v>366</v>
      </c>
      <c r="Q31" s="202">
        <v>300</v>
      </c>
      <c r="R31" s="203">
        <f t="shared" si="3"/>
        <v>1.22</v>
      </c>
      <c r="S31" s="211"/>
      <c r="T31" s="211"/>
      <c r="U31" s="211"/>
      <c r="V31" s="212"/>
    </row>
    <row r="32" spans="3:22" ht="15" customHeight="1" x14ac:dyDescent="0.25">
      <c r="C32" s="179">
        <v>70</v>
      </c>
      <c r="E32" s="182">
        <v>416</v>
      </c>
      <c r="F32" s="183">
        <v>354</v>
      </c>
      <c r="G32" s="181">
        <f>E32/F32</f>
        <v>1.1751412429378532</v>
      </c>
      <c r="H32" s="211"/>
      <c r="I32" s="211"/>
      <c r="J32" s="211"/>
      <c r="K32" s="212"/>
      <c r="N32" s="179">
        <v>70</v>
      </c>
      <c r="P32" s="182">
        <v>444</v>
      </c>
      <c r="Q32" s="183">
        <v>350</v>
      </c>
      <c r="R32" s="181">
        <f t="shared" si="3"/>
        <v>1.2685714285714285</v>
      </c>
      <c r="S32" s="211"/>
      <c r="T32" s="211"/>
      <c r="U32" s="211"/>
      <c r="V32" s="212"/>
    </row>
    <row r="33" spans="3:22" ht="15" customHeight="1" x14ac:dyDescent="0.25">
      <c r="C33" s="179">
        <v>90</v>
      </c>
      <c r="E33" s="201">
        <v>492</v>
      </c>
      <c r="F33" s="202">
        <v>412</v>
      </c>
      <c r="G33" s="203">
        <f t="shared" si="2"/>
        <v>1.1941747572815533</v>
      </c>
      <c r="H33" s="211"/>
      <c r="I33" s="211"/>
      <c r="J33" s="211"/>
      <c r="K33" s="212"/>
      <c r="N33" s="179">
        <v>90</v>
      </c>
      <c r="P33" s="201">
        <v>528</v>
      </c>
      <c r="Q33" s="202">
        <v>407</v>
      </c>
      <c r="R33" s="203">
        <f t="shared" si="3"/>
        <v>1.2972972972972974</v>
      </c>
      <c r="S33" s="211"/>
      <c r="T33" s="211"/>
      <c r="U33" s="211"/>
      <c r="V33" s="212"/>
    </row>
    <row r="34" spans="3:22" ht="15" customHeight="1" x14ac:dyDescent="0.25">
      <c r="C34" s="179">
        <v>110</v>
      </c>
      <c r="E34" s="201">
        <v>575</v>
      </c>
      <c r="F34" s="202">
        <v>479</v>
      </c>
      <c r="G34" s="203">
        <f t="shared" si="2"/>
        <v>1.2004175365344467</v>
      </c>
      <c r="H34" s="211"/>
      <c r="I34" s="211"/>
      <c r="J34" s="211"/>
      <c r="K34" s="212"/>
      <c r="N34" s="179">
        <v>110</v>
      </c>
      <c r="P34" s="201">
        <v>621</v>
      </c>
      <c r="Q34" s="202">
        <v>474</v>
      </c>
      <c r="R34" s="203">
        <f t="shared" si="3"/>
        <v>1.3101265822784811</v>
      </c>
      <c r="S34" s="211"/>
      <c r="T34" s="211"/>
      <c r="U34" s="211"/>
      <c r="V34" s="212"/>
    </row>
    <row r="35" spans="3:22" ht="15" customHeight="1" x14ac:dyDescent="0.25">
      <c r="C35" s="179">
        <v>130</v>
      </c>
      <c r="E35" s="182">
        <v>666</v>
      </c>
      <c r="F35" s="183">
        <v>559</v>
      </c>
      <c r="G35" s="181">
        <f t="shared" si="2"/>
        <v>1.1914132379248659</v>
      </c>
      <c r="H35" s="211"/>
      <c r="I35" s="211"/>
      <c r="J35" s="211"/>
      <c r="K35" s="212"/>
      <c r="N35" s="179">
        <v>130</v>
      </c>
      <c r="P35" s="182">
        <v>727</v>
      </c>
      <c r="Q35" s="183">
        <v>553</v>
      </c>
      <c r="R35" s="181">
        <f t="shared" si="3"/>
        <v>1.3146473779385173</v>
      </c>
      <c r="S35" s="211"/>
      <c r="T35" s="211"/>
      <c r="U35" s="211"/>
      <c r="V35" s="212"/>
    </row>
    <row r="36" spans="3:22" ht="15" customHeight="1" x14ac:dyDescent="0.25">
      <c r="C36" s="179">
        <v>150</v>
      </c>
      <c r="E36" s="201">
        <v>772</v>
      </c>
      <c r="F36" s="202">
        <v>658</v>
      </c>
      <c r="G36" s="203">
        <f t="shared" si="2"/>
        <v>1.1732522796352585</v>
      </c>
      <c r="H36" s="211"/>
      <c r="I36" s="211"/>
      <c r="J36" s="211"/>
      <c r="K36" s="212"/>
      <c r="N36" s="179">
        <v>150</v>
      </c>
      <c r="P36" s="201">
        <v>855</v>
      </c>
      <c r="Q36" s="202">
        <v>651</v>
      </c>
      <c r="R36" s="203">
        <f t="shared" si="3"/>
        <v>1.3133640552995391</v>
      </c>
      <c r="S36" s="211"/>
      <c r="T36" s="211"/>
      <c r="U36" s="211"/>
      <c r="V36" s="212"/>
    </row>
    <row r="37" spans="3:22" ht="15" customHeight="1" x14ac:dyDescent="0.25">
      <c r="C37" s="179">
        <v>170</v>
      </c>
      <c r="E37" s="201">
        <v>900</v>
      </c>
      <c r="F37" s="202">
        <v>789</v>
      </c>
      <c r="G37" s="203">
        <f t="shared" si="2"/>
        <v>1.1406844106463878</v>
      </c>
      <c r="H37" s="211"/>
      <c r="I37" s="211"/>
      <c r="J37" s="211"/>
      <c r="K37" s="212"/>
      <c r="N37" s="179">
        <v>170</v>
      </c>
      <c r="P37" s="201">
        <v>1024</v>
      </c>
      <c r="Q37" s="202">
        <v>780</v>
      </c>
      <c r="R37" s="203">
        <f t="shared" si="3"/>
        <v>1.3128205128205128</v>
      </c>
      <c r="S37" s="211"/>
      <c r="T37" s="211"/>
      <c r="U37" s="211"/>
      <c r="V37" s="212"/>
    </row>
    <row r="38" spans="3:22" ht="15" customHeight="1" x14ac:dyDescent="0.25">
      <c r="C38" s="179">
        <v>190</v>
      </c>
      <c r="E38" s="182">
        <v>1069</v>
      </c>
      <c r="F38" s="183">
        <v>976</v>
      </c>
      <c r="G38" s="181">
        <f t="shared" si="2"/>
        <v>1.0952868852459017</v>
      </c>
      <c r="H38" s="211"/>
      <c r="I38" s="211"/>
      <c r="J38" s="211"/>
      <c r="K38" s="212"/>
      <c r="N38" s="179">
        <v>190</v>
      </c>
      <c r="P38" s="182">
        <v>1277</v>
      </c>
      <c r="Q38" s="183">
        <v>966</v>
      </c>
      <c r="R38" s="181">
        <f t="shared" si="3"/>
        <v>1.3219461697722568</v>
      </c>
      <c r="S38" s="211"/>
      <c r="T38" s="211"/>
      <c r="U38" s="211"/>
      <c r="V38" s="212"/>
    </row>
    <row r="39" spans="3:22" ht="15" customHeight="1" x14ac:dyDescent="0.25">
      <c r="C39" s="179">
        <v>210</v>
      </c>
      <c r="E39" s="204">
        <v>1321</v>
      </c>
      <c r="F39" s="205">
        <v>0</v>
      </c>
      <c r="G39" s="206"/>
      <c r="H39" s="213"/>
      <c r="I39" s="213"/>
      <c r="J39" s="213"/>
      <c r="K39" s="214"/>
      <c r="N39" s="179">
        <v>210</v>
      </c>
      <c r="P39" s="204">
        <v>1752</v>
      </c>
      <c r="Q39" s="205">
        <v>0</v>
      </c>
      <c r="R39" s="206"/>
      <c r="S39" s="213"/>
      <c r="T39" s="213"/>
      <c r="U39" s="213"/>
      <c r="V39" s="214"/>
    </row>
    <row r="40" spans="3:22" ht="15" customHeight="1" x14ac:dyDescent="0.25"/>
    <row r="41" spans="3:22" ht="16.5" customHeight="1" x14ac:dyDescent="0.25"/>
    <row r="42" spans="3:22" ht="16.5" customHeight="1" x14ac:dyDescent="0.25"/>
    <row r="43" spans="3:22" ht="16.5" customHeight="1" x14ac:dyDescent="0.25"/>
    <row r="44" spans="3:22" ht="16.5" customHeight="1" x14ac:dyDescent="0.25"/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5AB5D-A341-46D1-B25C-B4DF5931EB01}">
  <sheetPr transitionEvaluation="1" transitionEntry="1" codeName="Sheet1"/>
  <dimension ref="A1:V44"/>
  <sheetViews>
    <sheetView showGridLines="0" zoomScaleNormal="100" workbookViewId="0"/>
  </sheetViews>
  <sheetFormatPr defaultRowHeight="15" x14ac:dyDescent="0.25"/>
  <cols>
    <col min="4" max="4" width="18.28515625" customWidth="1"/>
    <col min="5" max="7" width="5.7109375" customWidth="1"/>
    <col min="11" max="11" width="7.7109375" customWidth="1"/>
    <col min="16" max="18" width="5.7109375" customWidth="1"/>
    <col min="22" max="22" width="7.7109375" customWidth="1"/>
  </cols>
  <sheetData>
    <row r="1" spans="1:22" ht="15" customHeight="1" x14ac:dyDescent="0.25"/>
    <row r="2" spans="1:22" ht="15" customHeight="1" x14ac:dyDescent="0.3">
      <c r="A2" s="60" t="s">
        <v>375</v>
      </c>
      <c r="D2" s="180"/>
      <c r="E2" s="184" t="s">
        <v>327</v>
      </c>
      <c r="F2" s="185"/>
      <c r="G2" s="186"/>
      <c r="H2" s="186"/>
      <c r="I2" s="186"/>
      <c r="J2" s="186"/>
      <c r="K2" s="187" t="s">
        <v>346</v>
      </c>
      <c r="O2" s="180"/>
      <c r="P2" s="184" t="s">
        <v>327</v>
      </c>
      <c r="Q2" s="185"/>
      <c r="R2" s="186"/>
      <c r="S2" s="186"/>
      <c r="T2" s="186"/>
      <c r="U2" s="186"/>
      <c r="V2" s="187" t="s">
        <v>346</v>
      </c>
    </row>
    <row r="3" spans="1:22" ht="15" customHeight="1" x14ac:dyDescent="0.3">
      <c r="A3" t="s">
        <v>408</v>
      </c>
      <c r="E3" s="188" t="s">
        <v>329</v>
      </c>
      <c r="F3" s="189"/>
      <c r="G3" s="189"/>
      <c r="H3" s="189"/>
      <c r="I3" s="189"/>
      <c r="J3" s="190" t="s">
        <v>334</v>
      </c>
      <c r="K3" s="191"/>
      <c r="P3" s="188" t="s">
        <v>330</v>
      </c>
      <c r="Q3" s="189"/>
      <c r="R3" s="189"/>
      <c r="S3" s="189"/>
      <c r="T3" s="189"/>
      <c r="U3" s="190" t="s">
        <v>336</v>
      </c>
      <c r="V3" s="191"/>
    </row>
    <row r="4" spans="1:22" ht="15" customHeight="1" x14ac:dyDescent="0.3">
      <c r="A4" t="s">
        <v>409</v>
      </c>
      <c r="E4" s="209" t="s">
        <v>332</v>
      </c>
      <c r="F4" s="192"/>
      <c r="G4" s="192"/>
      <c r="H4" s="192"/>
      <c r="I4" s="192"/>
      <c r="J4" s="192"/>
      <c r="K4" s="193"/>
      <c r="P4" s="209" t="s">
        <v>333</v>
      </c>
      <c r="Q4" s="192"/>
      <c r="R4" s="192"/>
      <c r="S4" s="192"/>
      <c r="T4" s="192"/>
      <c r="U4" s="192"/>
      <c r="V4" s="193"/>
    </row>
    <row r="5" spans="1:22" ht="15" customHeight="1" x14ac:dyDescent="0.3">
      <c r="A5" t="s">
        <v>410</v>
      </c>
      <c r="E5" s="194">
        <v>1.012</v>
      </c>
      <c r="F5" s="195" t="s">
        <v>335</v>
      </c>
      <c r="G5" s="210" t="s">
        <v>345</v>
      </c>
      <c r="H5" s="196"/>
      <c r="I5" s="192"/>
      <c r="J5" s="192"/>
      <c r="K5" s="193"/>
      <c r="P5" s="194">
        <v>0.88</v>
      </c>
      <c r="Q5" s="195" t="s">
        <v>337</v>
      </c>
      <c r="R5" s="210" t="s">
        <v>345</v>
      </c>
      <c r="S5" s="196"/>
      <c r="T5" s="192"/>
      <c r="U5" s="192"/>
      <c r="V5" s="193"/>
    </row>
    <row r="6" spans="1:22" ht="15" customHeight="1" x14ac:dyDescent="0.3">
      <c r="A6" t="s">
        <v>411</v>
      </c>
      <c r="E6" s="197"/>
      <c r="F6" s="198"/>
      <c r="G6" s="210" t="s">
        <v>344</v>
      </c>
      <c r="H6" s="196"/>
      <c r="I6" s="192"/>
      <c r="J6" s="192"/>
      <c r="K6" s="193"/>
      <c r="P6" s="197"/>
      <c r="Q6" s="198"/>
      <c r="R6" s="210" t="s">
        <v>344</v>
      </c>
      <c r="S6" s="196"/>
      <c r="T6" s="192"/>
      <c r="U6" s="192"/>
      <c r="V6" s="193"/>
    </row>
    <row r="7" spans="1:22" ht="15" customHeight="1" x14ac:dyDescent="0.3">
      <c r="E7" s="197"/>
      <c r="F7" s="198"/>
      <c r="G7" s="195" t="s">
        <v>326</v>
      </c>
      <c r="H7" s="192"/>
      <c r="I7" s="192"/>
      <c r="J7" s="192"/>
      <c r="K7" s="193"/>
      <c r="P7" s="197"/>
      <c r="Q7" s="198"/>
      <c r="R7" s="195" t="s">
        <v>326</v>
      </c>
      <c r="S7" s="211"/>
      <c r="T7" s="211"/>
      <c r="U7" s="211"/>
      <c r="V7" s="212"/>
    </row>
    <row r="8" spans="1:22" ht="15" customHeight="1" x14ac:dyDescent="0.3">
      <c r="C8" s="50" t="s">
        <v>324</v>
      </c>
      <c r="E8" s="199" t="s">
        <v>323</v>
      </c>
      <c r="F8" s="200" t="s">
        <v>322</v>
      </c>
      <c r="G8" s="195" t="s">
        <v>325</v>
      </c>
      <c r="H8" s="192"/>
      <c r="I8" s="192"/>
      <c r="J8" s="192"/>
      <c r="K8" s="193"/>
      <c r="N8" s="50" t="s">
        <v>324</v>
      </c>
      <c r="P8" s="199" t="s">
        <v>323</v>
      </c>
      <c r="Q8" s="200" t="s">
        <v>322</v>
      </c>
      <c r="R8" s="195" t="s">
        <v>325</v>
      </c>
      <c r="S8" s="211"/>
      <c r="T8" s="211"/>
      <c r="U8" s="211"/>
      <c r="V8" s="212"/>
    </row>
    <row r="9" spans="1:22" ht="15" customHeight="1" x14ac:dyDescent="0.25">
      <c r="C9" s="179">
        <v>10</v>
      </c>
      <c r="E9" s="182">
        <v>210</v>
      </c>
      <c r="F9" s="183">
        <v>255</v>
      </c>
      <c r="G9" s="181">
        <f>E9/F9</f>
        <v>0.82352941176470584</v>
      </c>
      <c r="H9" s="192"/>
      <c r="I9" s="192"/>
      <c r="J9" s="192"/>
      <c r="K9" s="193"/>
      <c r="N9" s="179">
        <v>10</v>
      </c>
      <c r="P9" s="182">
        <v>195</v>
      </c>
      <c r="Q9" s="183">
        <v>210</v>
      </c>
      <c r="R9" s="181">
        <f>P9/Q9</f>
        <v>0.9285714285714286</v>
      </c>
      <c r="S9" s="211"/>
      <c r="T9" s="211"/>
      <c r="U9" s="211"/>
      <c r="V9" s="212"/>
    </row>
    <row r="10" spans="1:22" ht="15" customHeight="1" x14ac:dyDescent="0.25">
      <c r="C10" s="179">
        <v>30</v>
      </c>
      <c r="E10" s="201">
        <v>275</v>
      </c>
      <c r="F10" s="202">
        <v>304</v>
      </c>
      <c r="G10" s="203">
        <f t="shared" ref="G10:G18" si="0">E10/F10</f>
        <v>0.90460526315789469</v>
      </c>
      <c r="H10" s="192"/>
      <c r="I10" s="192"/>
      <c r="J10" s="192"/>
      <c r="K10" s="193"/>
      <c r="N10" s="179">
        <v>30</v>
      </c>
      <c r="P10" s="201">
        <v>257</v>
      </c>
      <c r="Q10" s="202">
        <v>248</v>
      </c>
      <c r="R10" s="203">
        <f t="shared" ref="R10:R18" si="1">P10/Q10</f>
        <v>1.0362903225806452</v>
      </c>
      <c r="S10" s="211"/>
      <c r="T10" s="211"/>
      <c r="U10" s="211"/>
      <c r="V10" s="212"/>
    </row>
    <row r="11" spans="1:22" ht="15" customHeight="1" x14ac:dyDescent="0.25">
      <c r="C11" s="179">
        <v>50</v>
      </c>
      <c r="E11" s="201">
        <v>342</v>
      </c>
      <c r="F11" s="202">
        <v>358</v>
      </c>
      <c r="G11" s="203">
        <f t="shared" si="0"/>
        <v>0.95530726256983245</v>
      </c>
      <c r="H11" s="192"/>
      <c r="I11" s="192"/>
      <c r="J11" s="192"/>
      <c r="K11" s="193"/>
      <c r="N11" s="179">
        <v>50</v>
      </c>
      <c r="P11" s="201">
        <v>321</v>
      </c>
      <c r="Q11" s="202">
        <v>289</v>
      </c>
      <c r="R11" s="203">
        <f t="shared" si="1"/>
        <v>1.1107266435986158</v>
      </c>
      <c r="S11" s="211"/>
      <c r="T11" s="211"/>
      <c r="U11" s="211"/>
      <c r="V11" s="212"/>
    </row>
    <row r="12" spans="1:22" ht="15" customHeight="1" x14ac:dyDescent="0.25">
      <c r="C12" s="179">
        <v>70</v>
      </c>
      <c r="E12" s="182">
        <v>410</v>
      </c>
      <c r="F12" s="183">
        <v>419</v>
      </c>
      <c r="G12" s="181">
        <f t="shared" si="0"/>
        <v>0.97852028639618138</v>
      </c>
      <c r="H12" s="192"/>
      <c r="I12" s="192"/>
      <c r="J12" s="192"/>
      <c r="K12" s="193"/>
      <c r="N12" s="179">
        <v>70</v>
      </c>
      <c r="P12" s="182">
        <v>387</v>
      </c>
      <c r="Q12" s="183">
        <v>335</v>
      </c>
      <c r="R12" s="181">
        <f t="shared" si="1"/>
        <v>1.155223880597015</v>
      </c>
      <c r="S12" s="211"/>
      <c r="T12" s="211"/>
      <c r="U12" s="211"/>
      <c r="V12" s="212"/>
    </row>
    <row r="13" spans="1:22" ht="15" customHeight="1" x14ac:dyDescent="0.25">
      <c r="C13" s="179">
        <v>90</v>
      </c>
      <c r="E13" s="201">
        <v>480</v>
      </c>
      <c r="F13" s="202">
        <v>489</v>
      </c>
      <c r="G13" s="203">
        <f t="shared" si="0"/>
        <v>0.98159509202453987</v>
      </c>
      <c r="H13" s="192"/>
      <c r="I13" s="192"/>
      <c r="J13" s="192"/>
      <c r="K13" s="193"/>
      <c r="N13" s="179">
        <v>90</v>
      </c>
      <c r="P13" s="201">
        <v>458</v>
      </c>
      <c r="Q13" s="202">
        <v>388</v>
      </c>
      <c r="R13" s="203">
        <f t="shared" si="1"/>
        <v>1.1804123711340206</v>
      </c>
      <c r="S13" s="211"/>
      <c r="T13" s="211"/>
      <c r="U13" s="211"/>
      <c r="V13" s="212"/>
    </row>
    <row r="14" spans="1:22" ht="15" customHeight="1" x14ac:dyDescent="0.25">
      <c r="C14" s="179">
        <v>110</v>
      </c>
      <c r="E14" s="201">
        <v>552</v>
      </c>
      <c r="F14" s="202">
        <v>569</v>
      </c>
      <c r="G14" s="203">
        <f t="shared" si="0"/>
        <v>0.97012302284710017</v>
      </c>
      <c r="H14" s="192"/>
      <c r="I14" s="192"/>
      <c r="J14" s="192"/>
      <c r="K14" s="193"/>
      <c r="N14" s="179">
        <v>110</v>
      </c>
      <c r="P14" s="201">
        <v>534</v>
      </c>
      <c r="Q14" s="202">
        <v>448</v>
      </c>
      <c r="R14" s="203">
        <f t="shared" si="1"/>
        <v>1.1919642857142858</v>
      </c>
      <c r="S14" s="211"/>
      <c r="T14" s="211"/>
      <c r="U14" s="211"/>
      <c r="V14" s="212"/>
    </row>
    <row r="15" spans="1:22" ht="15" customHeight="1" x14ac:dyDescent="0.25">
      <c r="C15" s="179">
        <v>130</v>
      </c>
      <c r="E15" s="182">
        <v>628</v>
      </c>
      <c r="F15" s="183">
        <v>665</v>
      </c>
      <c r="G15" s="181">
        <f t="shared" si="0"/>
        <v>0.94436090225563907</v>
      </c>
      <c r="H15" s="192"/>
      <c r="I15" s="192"/>
      <c r="J15" s="192"/>
      <c r="K15" s="193"/>
      <c r="N15" s="179">
        <v>130</v>
      </c>
      <c r="P15" s="182">
        <v>616</v>
      </c>
      <c r="Q15" s="183">
        <v>519</v>
      </c>
      <c r="R15" s="181">
        <f t="shared" si="1"/>
        <v>1.186897880539499</v>
      </c>
      <c r="S15" s="211"/>
      <c r="T15" s="211"/>
      <c r="U15" s="211"/>
      <c r="V15" s="212"/>
    </row>
    <row r="16" spans="1:22" ht="15" customHeight="1" x14ac:dyDescent="0.25">
      <c r="C16" s="179">
        <v>150</v>
      </c>
      <c r="E16" s="201">
        <v>709</v>
      </c>
      <c r="F16" s="202">
        <v>785</v>
      </c>
      <c r="G16" s="203">
        <f t="shared" si="0"/>
        <v>0.9031847133757962</v>
      </c>
      <c r="H16" s="192"/>
      <c r="I16" s="192"/>
      <c r="J16" s="192"/>
      <c r="K16" s="193"/>
      <c r="N16" s="179">
        <v>150</v>
      </c>
      <c r="P16" s="201">
        <v>707</v>
      </c>
      <c r="Q16" s="202">
        <v>606</v>
      </c>
      <c r="R16" s="203">
        <f t="shared" si="1"/>
        <v>1.1666666666666667</v>
      </c>
      <c r="S16" s="211"/>
      <c r="T16" s="211"/>
      <c r="U16" s="211"/>
      <c r="V16" s="212"/>
    </row>
    <row r="17" spans="3:22" ht="15" customHeight="1" x14ac:dyDescent="0.25">
      <c r="C17" s="179">
        <v>170</v>
      </c>
      <c r="E17" s="201">
        <v>796</v>
      </c>
      <c r="F17" s="202">
        <v>942</v>
      </c>
      <c r="G17" s="203">
        <f t="shared" si="0"/>
        <v>0.84501061571125269</v>
      </c>
      <c r="H17" s="192"/>
      <c r="I17" s="192"/>
      <c r="J17" s="192"/>
      <c r="K17" s="193"/>
      <c r="N17" s="179">
        <v>170</v>
      </c>
      <c r="P17" s="201">
        <v>815</v>
      </c>
      <c r="Q17" s="202">
        <v>718</v>
      </c>
      <c r="R17" s="203">
        <f t="shared" si="1"/>
        <v>1.1350974930362117</v>
      </c>
      <c r="S17" s="211"/>
      <c r="T17" s="211"/>
      <c r="U17" s="211"/>
      <c r="V17" s="212"/>
    </row>
    <row r="18" spans="3:22" ht="15" customHeight="1" x14ac:dyDescent="0.25">
      <c r="C18" s="179">
        <v>190</v>
      </c>
      <c r="E18" s="182">
        <v>891</v>
      </c>
      <c r="F18" s="183">
        <v>1167</v>
      </c>
      <c r="G18" s="181">
        <f t="shared" si="0"/>
        <v>0.76349614395886889</v>
      </c>
      <c r="H18" s="192"/>
      <c r="I18" s="192"/>
      <c r="J18" s="192"/>
      <c r="K18" s="193"/>
      <c r="N18" s="179">
        <v>190</v>
      </c>
      <c r="P18" s="182">
        <v>948</v>
      </c>
      <c r="Q18" s="183">
        <v>876</v>
      </c>
      <c r="R18" s="181">
        <f t="shared" si="1"/>
        <v>1.0821917808219179</v>
      </c>
      <c r="S18" s="211"/>
      <c r="T18" s="211"/>
      <c r="U18" s="211"/>
      <c r="V18" s="212"/>
    </row>
    <row r="19" spans="3:22" ht="15" customHeight="1" x14ac:dyDescent="0.25">
      <c r="C19" s="179">
        <v>210</v>
      </c>
      <c r="E19" s="204">
        <v>999</v>
      </c>
      <c r="F19" s="205">
        <v>0</v>
      </c>
      <c r="G19" s="206"/>
      <c r="H19" s="207"/>
      <c r="I19" s="207"/>
      <c r="J19" s="207"/>
      <c r="K19" s="208"/>
      <c r="N19" s="179">
        <v>210</v>
      </c>
      <c r="P19" s="204">
        <v>1125</v>
      </c>
      <c r="Q19" s="205">
        <v>1074</v>
      </c>
      <c r="R19" s="206"/>
      <c r="S19" s="213"/>
      <c r="T19" s="213"/>
      <c r="U19" s="213"/>
      <c r="V19" s="214"/>
    </row>
    <row r="20" spans="3:22" ht="15" customHeight="1" x14ac:dyDescent="0.25">
      <c r="J20" s="1"/>
      <c r="K20" s="1"/>
    </row>
    <row r="21" spans="3:22" ht="15" customHeight="1" x14ac:dyDescent="0.25"/>
    <row r="22" spans="3:22" ht="15" customHeight="1" x14ac:dyDescent="0.3">
      <c r="D22" s="180"/>
      <c r="E22" s="184" t="s">
        <v>327</v>
      </c>
      <c r="F22" s="185"/>
      <c r="G22" s="186"/>
      <c r="H22" s="186"/>
      <c r="I22" s="186"/>
      <c r="J22" s="186"/>
      <c r="K22" s="187" t="s">
        <v>346</v>
      </c>
      <c r="P22" s="184" t="s">
        <v>327</v>
      </c>
      <c r="Q22" s="185"/>
      <c r="R22" s="186"/>
      <c r="S22" s="186"/>
      <c r="T22" s="186"/>
      <c r="U22" s="186"/>
      <c r="V22" s="187" t="s">
        <v>346</v>
      </c>
    </row>
    <row r="23" spans="3:22" ht="15" customHeight="1" x14ac:dyDescent="0.3">
      <c r="E23" s="188" t="s">
        <v>328</v>
      </c>
      <c r="F23" s="189"/>
      <c r="G23" s="189"/>
      <c r="H23" s="189"/>
      <c r="I23" s="189"/>
      <c r="J23" s="190" t="s">
        <v>338</v>
      </c>
      <c r="K23" s="191"/>
      <c r="P23" s="188" t="s">
        <v>331</v>
      </c>
      <c r="Q23" s="189"/>
      <c r="R23" s="189"/>
      <c r="S23" s="189"/>
      <c r="T23" s="189"/>
      <c r="U23" s="190" t="s">
        <v>343</v>
      </c>
      <c r="V23" s="191"/>
    </row>
    <row r="24" spans="3:22" ht="15" customHeight="1" x14ac:dyDescent="0.3">
      <c r="E24" s="209" t="s">
        <v>339</v>
      </c>
      <c r="F24" s="192"/>
      <c r="G24" s="192"/>
      <c r="H24" s="192"/>
      <c r="I24" s="192"/>
      <c r="J24" s="192"/>
      <c r="K24" s="193"/>
      <c r="P24" s="209" t="s">
        <v>341</v>
      </c>
      <c r="Q24" s="192"/>
      <c r="R24" s="192"/>
      <c r="S24" s="192"/>
      <c r="T24" s="192"/>
      <c r="U24" s="192"/>
      <c r="V24" s="193"/>
    </row>
    <row r="25" spans="3:22" ht="15" customHeight="1" x14ac:dyDescent="0.3">
      <c r="E25" s="194">
        <v>0.94399999999999995</v>
      </c>
      <c r="F25" s="195" t="s">
        <v>340</v>
      </c>
      <c r="G25" s="210" t="s">
        <v>345</v>
      </c>
      <c r="H25" s="196"/>
      <c r="I25" s="192"/>
      <c r="J25" s="192"/>
      <c r="K25" s="193"/>
      <c r="P25" s="194">
        <v>1.036</v>
      </c>
      <c r="Q25" s="195" t="s">
        <v>342</v>
      </c>
      <c r="R25" s="210" t="s">
        <v>345</v>
      </c>
      <c r="S25" s="196"/>
      <c r="T25" s="192"/>
      <c r="U25" s="192"/>
      <c r="V25" s="193"/>
    </row>
    <row r="26" spans="3:22" ht="15" customHeight="1" x14ac:dyDescent="0.3">
      <c r="E26" s="197"/>
      <c r="F26" s="198"/>
      <c r="G26" s="210" t="s">
        <v>344</v>
      </c>
      <c r="H26" s="196"/>
      <c r="I26" s="192"/>
      <c r="J26" s="192"/>
      <c r="K26" s="193"/>
      <c r="P26" s="197"/>
      <c r="Q26" s="198"/>
      <c r="R26" s="210" t="s">
        <v>344</v>
      </c>
      <c r="S26" s="196"/>
      <c r="T26" s="192"/>
      <c r="U26" s="192"/>
      <c r="V26" s="193"/>
    </row>
    <row r="27" spans="3:22" ht="15" customHeight="1" x14ac:dyDescent="0.3">
      <c r="E27" s="197"/>
      <c r="F27" s="198"/>
      <c r="G27" s="195" t="s">
        <v>326</v>
      </c>
      <c r="H27" s="211"/>
      <c r="I27" s="211"/>
      <c r="J27" s="211"/>
      <c r="K27" s="212"/>
      <c r="P27" s="197"/>
      <c r="Q27" s="198"/>
      <c r="R27" s="195" t="s">
        <v>326</v>
      </c>
      <c r="S27" s="211"/>
      <c r="T27" s="211"/>
      <c r="U27" s="211"/>
      <c r="V27" s="212"/>
    </row>
    <row r="28" spans="3:22" ht="15" customHeight="1" x14ac:dyDescent="0.3">
      <c r="C28" s="50" t="s">
        <v>324</v>
      </c>
      <c r="E28" s="199" t="s">
        <v>323</v>
      </c>
      <c r="F28" s="200" t="s">
        <v>322</v>
      </c>
      <c r="G28" s="195" t="s">
        <v>325</v>
      </c>
      <c r="H28" s="211"/>
      <c r="I28" s="211"/>
      <c r="J28" s="211"/>
      <c r="K28" s="212"/>
      <c r="N28" s="50" t="s">
        <v>324</v>
      </c>
      <c r="P28" s="199" t="s">
        <v>323</v>
      </c>
      <c r="Q28" s="200" t="s">
        <v>322</v>
      </c>
      <c r="R28" s="195" t="s">
        <v>325</v>
      </c>
      <c r="S28" s="211"/>
      <c r="T28" s="211"/>
      <c r="U28" s="211"/>
      <c r="V28" s="212"/>
    </row>
    <row r="29" spans="3:22" ht="15" customHeight="1" x14ac:dyDescent="0.25">
      <c r="C29" s="179">
        <v>10</v>
      </c>
      <c r="E29" s="182">
        <v>203</v>
      </c>
      <c r="F29" s="183">
        <v>217</v>
      </c>
      <c r="G29" s="181">
        <f>E29/F29</f>
        <v>0.93548387096774188</v>
      </c>
      <c r="H29" s="211"/>
      <c r="I29" s="211"/>
      <c r="J29" s="211"/>
      <c r="K29" s="212"/>
      <c r="N29" s="179">
        <v>10</v>
      </c>
      <c r="P29" s="182">
        <v>215</v>
      </c>
      <c r="Q29" s="183">
        <v>215</v>
      </c>
      <c r="R29" s="181">
        <f>P29/Q29</f>
        <v>1</v>
      </c>
      <c r="S29" s="211"/>
      <c r="T29" s="211"/>
      <c r="U29" s="211"/>
      <c r="V29" s="212"/>
    </row>
    <row r="30" spans="3:22" ht="15" customHeight="1" x14ac:dyDescent="0.25">
      <c r="C30" s="179">
        <v>30</v>
      </c>
      <c r="E30" s="201">
        <v>267</v>
      </c>
      <c r="F30" s="202">
        <v>258</v>
      </c>
      <c r="G30" s="203">
        <f t="shared" ref="G30:G38" si="2">E30/F30</f>
        <v>1.0348837209302326</v>
      </c>
      <c r="H30" s="211"/>
      <c r="I30" s="211"/>
      <c r="J30" s="211"/>
      <c r="K30" s="212"/>
      <c r="N30" s="179">
        <v>30</v>
      </c>
      <c r="P30" s="201">
        <v>285</v>
      </c>
      <c r="Q30" s="202">
        <v>255</v>
      </c>
      <c r="R30" s="203">
        <f t="shared" ref="R30:R38" si="3">P30/Q30</f>
        <v>1.1176470588235294</v>
      </c>
      <c r="S30" s="211"/>
      <c r="T30" s="211"/>
      <c r="U30" s="211"/>
      <c r="V30" s="212"/>
    </row>
    <row r="31" spans="3:22" ht="15" customHeight="1" x14ac:dyDescent="0.25">
      <c r="C31" s="179">
        <v>50</v>
      </c>
      <c r="E31" s="201">
        <v>333</v>
      </c>
      <c r="F31" s="202">
        <v>303</v>
      </c>
      <c r="G31" s="203">
        <f t="shared" si="2"/>
        <v>1.0990099009900991</v>
      </c>
      <c r="H31" s="211"/>
      <c r="I31" s="211"/>
      <c r="J31" s="211"/>
      <c r="K31" s="212"/>
      <c r="N31" s="179">
        <v>50</v>
      </c>
      <c r="P31" s="201">
        <v>356</v>
      </c>
      <c r="Q31" s="202">
        <v>300</v>
      </c>
      <c r="R31" s="203">
        <f t="shared" si="3"/>
        <v>1.1866666666666668</v>
      </c>
      <c r="S31" s="211"/>
      <c r="T31" s="211"/>
      <c r="U31" s="211"/>
      <c r="V31" s="212"/>
    </row>
    <row r="32" spans="3:22" ht="15" customHeight="1" x14ac:dyDescent="0.25">
      <c r="C32" s="179">
        <v>70</v>
      </c>
      <c r="E32" s="182">
        <v>402</v>
      </c>
      <c r="F32" s="183">
        <v>354</v>
      </c>
      <c r="G32" s="181">
        <f>E32/F32</f>
        <v>1.1355932203389831</v>
      </c>
      <c r="H32" s="211"/>
      <c r="I32" s="211"/>
      <c r="J32" s="211"/>
      <c r="K32" s="212"/>
      <c r="N32" s="179">
        <v>70</v>
      </c>
      <c r="P32" s="182">
        <v>428</v>
      </c>
      <c r="Q32" s="183">
        <v>350</v>
      </c>
      <c r="R32" s="181">
        <f t="shared" si="3"/>
        <v>1.2228571428571429</v>
      </c>
      <c r="S32" s="211"/>
      <c r="T32" s="211"/>
      <c r="U32" s="211"/>
      <c r="V32" s="212"/>
    </row>
    <row r="33" spans="3:22" ht="15" customHeight="1" x14ac:dyDescent="0.25">
      <c r="C33" s="179">
        <v>90</v>
      </c>
      <c r="E33" s="201">
        <v>473</v>
      </c>
      <c r="F33" s="202">
        <v>412</v>
      </c>
      <c r="G33" s="203">
        <f t="shared" si="2"/>
        <v>1.1480582524271845</v>
      </c>
      <c r="H33" s="211"/>
      <c r="I33" s="211"/>
      <c r="J33" s="211"/>
      <c r="K33" s="212"/>
      <c r="N33" s="179">
        <v>90</v>
      </c>
      <c r="P33" s="201">
        <v>506</v>
      </c>
      <c r="Q33" s="202">
        <v>407</v>
      </c>
      <c r="R33" s="203">
        <f t="shared" si="3"/>
        <v>1.2432432432432432</v>
      </c>
      <c r="S33" s="211"/>
      <c r="T33" s="211"/>
      <c r="U33" s="211"/>
      <c r="V33" s="212"/>
    </row>
    <row r="34" spans="3:22" ht="15" customHeight="1" x14ac:dyDescent="0.25">
      <c r="C34" s="179">
        <v>110</v>
      </c>
      <c r="E34" s="201">
        <v>548</v>
      </c>
      <c r="F34" s="202">
        <v>479</v>
      </c>
      <c r="G34" s="203">
        <f t="shared" si="2"/>
        <v>1.1440501043841336</v>
      </c>
      <c r="H34" s="211"/>
      <c r="I34" s="211"/>
      <c r="J34" s="211"/>
      <c r="K34" s="212"/>
      <c r="N34" s="179">
        <v>110</v>
      </c>
      <c r="P34" s="201">
        <v>588</v>
      </c>
      <c r="Q34" s="202">
        <v>474</v>
      </c>
      <c r="R34" s="203">
        <f t="shared" si="3"/>
        <v>1.240506329113924</v>
      </c>
      <c r="S34" s="211"/>
      <c r="T34" s="211"/>
      <c r="U34" s="211"/>
      <c r="V34" s="212"/>
    </row>
    <row r="35" spans="3:22" ht="15" customHeight="1" x14ac:dyDescent="0.25">
      <c r="C35" s="179">
        <v>130</v>
      </c>
      <c r="E35" s="182">
        <v>628</v>
      </c>
      <c r="F35" s="183">
        <v>559</v>
      </c>
      <c r="G35" s="181">
        <f t="shared" si="2"/>
        <v>1.1234347048300537</v>
      </c>
      <c r="H35" s="211"/>
      <c r="I35" s="211"/>
      <c r="J35" s="211"/>
      <c r="K35" s="212"/>
      <c r="N35" s="179">
        <v>130</v>
      </c>
      <c r="P35" s="182">
        <v>677</v>
      </c>
      <c r="Q35" s="183">
        <v>553</v>
      </c>
      <c r="R35" s="181">
        <f t="shared" si="3"/>
        <v>1.2242314647377939</v>
      </c>
      <c r="S35" s="211"/>
      <c r="T35" s="211"/>
      <c r="U35" s="211"/>
      <c r="V35" s="212"/>
    </row>
    <row r="36" spans="3:22" ht="15" customHeight="1" x14ac:dyDescent="0.25">
      <c r="C36" s="179">
        <v>150</v>
      </c>
      <c r="E36" s="201">
        <v>714</v>
      </c>
      <c r="F36" s="202">
        <v>658</v>
      </c>
      <c r="G36" s="203">
        <f t="shared" si="2"/>
        <v>1.0851063829787233</v>
      </c>
      <c r="H36" s="211"/>
      <c r="I36" s="211"/>
      <c r="J36" s="211"/>
      <c r="K36" s="212"/>
      <c r="N36" s="179">
        <v>150</v>
      </c>
      <c r="P36" s="201">
        <v>777</v>
      </c>
      <c r="Q36" s="202">
        <v>651</v>
      </c>
      <c r="R36" s="203">
        <f t="shared" si="3"/>
        <v>1.1935483870967742</v>
      </c>
      <c r="S36" s="211"/>
      <c r="T36" s="211"/>
      <c r="U36" s="211"/>
      <c r="V36" s="212"/>
    </row>
    <row r="37" spans="3:22" ht="15" customHeight="1" x14ac:dyDescent="0.25">
      <c r="C37" s="179">
        <v>170</v>
      </c>
      <c r="E37" s="201">
        <v>813</v>
      </c>
      <c r="F37" s="202">
        <v>789</v>
      </c>
      <c r="G37" s="203">
        <f t="shared" si="2"/>
        <v>1.0304182509505704</v>
      </c>
      <c r="H37" s="211"/>
      <c r="I37" s="211"/>
      <c r="J37" s="211"/>
      <c r="K37" s="212"/>
      <c r="N37" s="179">
        <v>170</v>
      </c>
      <c r="P37" s="201">
        <v>892</v>
      </c>
      <c r="Q37" s="202">
        <v>780</v>
      </c>
      <c r="R37" s="203">
        <f t="shared" si="3"/>
        <v>1.1435897435897435</v>
      </c>
      <c r="S37" s="211"/>
      <c r="T37" s="211"/>
      <c r="U37" s="211"/>
      <c r="V37" s="212"/>
    </row>
    <row r="38" spans="3:22" ht="15" customHeight="1" x14ac:dyDescent="0.25">
      <c r="C38" s="179">
        <v>190</v>
      </c>
      <c r="E38" s="182">
        <v>926</v>
      </c>
      <c r="F38" s="183">
        <v>976</v>
      </c>
      <c r="G38" s="181">
        <f t="shared" si="2"/>
        <v>0.94877049180327866</v>
      </c>
      <c r="H38" s="211"/>
      <c r="I38" s="211"/>
      <c r="J38" s="211"/>
      <c r="K38" s="212"/>
      <c r="N38" s="179">
        <v>190</v>
      </c>
      <c r="P38" s="182">
        <v>1032</v>
      </c>
      <c r="Q38" s="183">
        <v>966</v>
      </c>
      <c r="R38" s="181">
        <f t="shared" si="3"/>
        <v>1.0683229813664596</v>
      </c>
      <c r="S38" s="211"/>
      <c r="T38" s="211"/>
      <c r="U38" s="211"/>
      <c r="V38" s="212"/>
    </row>
    <row r="39" spans="3:22" ht="15" customHeight="1" x14ac:dyDescent="0.25">
      <c r="C39" s="179">
        <v>210</v>
      </c>
      <c r="E39" s="204">
        <v>1067</v>
      </c>
      <c r="F39" s="205">
        <v>0</v>
      </c>
      <c r="G39" s="206"/>
      <c r="H39" s="213"/>
      <c r="I39" s="213"/>
      <c r="J39" s="213"/>
      <c r="K39" s="214"/>
      <c r="N39" s="179">
        <v>210</v>
      </c>
      <c r="P39" s="204">
        <v>1220</v>
      </c>
      <c r="Q39" s="205">
        <v>0</v>
      </c>
      <c r="R39" s="206"/>
      <c r="S39" s="213"/>
      <c r="T39" s="213"/>
      <c r="U39" s="213"/>
      <c r="V39" s="214"/>
    </row>
    <row r="40" spans="3:22" ht="15" customHeight="1" x14ac:dyDescent="0.25"/>
    <row r="41" spans="3:22" ht="16.5" customHeight="1" x14ac:dyDescent="0.25"/>
    <row r="42" spans="3:22" ht="16.5" customHeight="1" x14ac:dyDescent="0.25"/>
    <row r="43" spans="3:22" ht="16.5" customHeight="1" x14ac:dyDescent="0.25"/>
    <row r="44" spans="3:22" ht="16.5" customHeight="1" x14ac:dyDescent="0.25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A7829-B299-4C86-B6BC-98EDDE383DFB}">
  <sheetPr transitionEvaluation="1" transitionEntry="1" codeName="Sheet5"/>
  <dimension ref="A1:AE45"/>
  <sheetViews>
    <sheetView showGridLines="0" zoomScale="90" zoomScaleNormal="90" workbookViewId="0">
      <selection activeCell="D17" sqref="D17"/>
    </sheetView>
  </sheetViews>
  <sheetFormatPr defaultRowHeight="15" x14ac:dyDescent="0.25"/>
  <cols>
    <col min="1" max="1" width="8" customWidth="1"/>
    <col min="2" max="2" width="12" customWidth="1"/>
    <col min="3" max="3" width="10" customWidth="1"/>
    <col min="4" max="4" width="9.7109375" customWidth="1"/>
    <col min="5" max="5" width="10.85546875" customWidth="1"/>
    <col min="6" max="7" width="9.7109375" customWidth="1"/>
    <col min="8" max="8" width="10" customWidth="1"/>
    <col min="9" max="9" width="10.42578125" customWidth="1"/>
    <col min="10" max="10" width="10.28515625" customWidth="1"/>
    <col min="11" max="11" width="11.42578125" customWidth="1"/>
    <col min="12" max="12" width="10.5703125" customWidth="1"/>
    <col min="13" max="13" width="9.7109375" customWidth="1"/>
    <col min="14" max="14" width="11.5703125" customWidth="1"/>
    <col min="15" max="15" width="13.42578125" customWidth="1"/>
    <col min="16" max="16" width="14.85546875" customWidth="1"/>
    <col min="17" max="17" width="10.5703125" customWidth="1"/>
    <col min="18" max="18" width="14.28515625" customWidth="1"/>
    <col min="19" max="19" width="10.85546875" customWidth="1"/>
    <col min="20" max="20" width="11.7109375" customWidth="1"/>
  </cols>
  <sheetData>
    <row r="1" spans="1:31" x14ac:dyDescent="0.25">
      <c r="A1" s="60" t="s">
        <v>304</v>
      </c>
    </row>
    <row r="2" spans="1:31" x14ac:dyDescent="0.25">
      <c r="A2" t="s">
        <v>320</v>
      </c>
      <c r="B2" t="s">
        <v>321</v>
      </c>
    </row>
    <row r="3" spans="1:31" ht="15.75" x14ac:dyDescent="0.25">
      <c r="B3" s="36"/>
      <c r="C3" s="36" t="s">
        <v>39</v>
      </c>
      <c r="D3" s="36"/>
      <c r="E3" s="36" t="s">
        <v>40</v>
      </c>
      <c r="F3" s="36"/>
      <c r="G3" s="36"/>
      <c r="H3" s="36" t="s">
        <v>30</v>
      </c>
      <c r="I3" s="36" t="s">
        <v>34</v>
      </c>
      <c r="J3" s="1"/>
      <c r="K3" s="36" t="s">
        <v>32</v>
      </c>
      <c r="L3" s="1"/>
    </row>
    <row r="4" spans="1:31" x14ac:dyDescent="0.25">
      <c r="A4" s="1"/>
      <c r="B4" s="32"/>
      <c r="C4" s="32" t="s">
        <v>47</v>
      </c>
      <c r="D4" s="32"/>
      <c r="E4" s="32" t="s">
        <v>48</v>
      </c>
      <c r="F4" s="37"/>
      <c r="G4" s="16"/>
      <c r="H4" s="32" t="s">
        <v>44</v>
      </c>
      <c r="I4" s="32" t="s">
        <v>46</v>
      </c>
      <c r="K4" s="32" t="s">
        <v>45</v>
      </c>
      <c r="L4" s="1"/>
      <c r="O4" s="16" t="s">
        <v>22</v>
      </c>
      <c r="P4" s="16" t="s">
        <v>23</v>
      </c>
      <c r="Q4" s="16" t="s">
        <v>25</v>
      </c>
      <c r="R4" s="16" t="s">
        <v>26</v>
      </c>
      <c r="S4" s="16" t="s">
        <v>24</v>
      </c>
      <c r="T4" s="16" t="s">
        <v>27</v>
      </c>
      <c r="U4" s="16"/>
    </row>
    <row r="5" spans="1:31" x14ac:dyDescent="0.25">
      <c r="B5" s="2" t="s">
        <v>0</v>
      </c>
      <c r="C5" s="2" t="s">
        <v>1</v>
      </c>
      <c r="D5" s="2" t="s">
        <v>14</v>
      </c>
      <c r="E5" s="2" t="s">
        <v>5</v>
      </c>
      <c r="F5" s="2" t="s">
        <v>19</v>
      </c>
      <c r="G5" s="7" t="s">
        <v>20</v>
      </c>
      <c r="H5" s="2" t="s">
        <v>9</v>
      </c>
      <c r="I5" s="2" t="s">
        <v>12</v>
      </c>
      <c r="K5" s="108" t="s">
        <v>43</v>
      </c>
      <c r="O5" s="17" t="s">
        <v>15</v>
      </c>
      <c r="P5" s="18" t="s">
        <v>16</v>
      </c>
      <c r="Q5" s="19" t="s">
        <v>21</v>
      </c>
      <c r="R5" s="17" t="s">
        <v>13</v>
      </c>
      <c r="S5" s="19" t="s">
        <v>18</v>
      </c>
      <c r="T5" s="8" t="s">
        <v>14</v>
      </c>
    </row>
    <row r="6" spans="1:31" x14ac:dyDescent="0.25">
      <c r="B6" s="3" t="s">
        <v>2</v>
      </c>
      <c r="C6" s="3" t="s">
        <v>3</v>
      </c>
      <c r="D6" s="3" t="s">
        <v>4</v>
      </c>
      <c r="E6" s="3" t="s">
        <v>6</v>
      </c>
      <c r="F6" s="3" t="s">
        <v>3</v>
      </c>
      <c r="G6" s="3" t="s">
        <v>3</v>
      </c>
      <c r="H6" s="3" t="s">
        <v>10</v>
      </c>
      <c r="I6" s="3" t="s">
        <v>10</v>
      </c>
      <c r="K6" s="109" t="s">
        <v>3</v>
      </c>
      <c r="O6" s="20" t="s">
        <v>4</v>
      </c>
      <c r="P6" s="3" t="s">
        <v>17</v>
      </c>
      <c r="Q6" s="21" t="s">
        <v>4</v>
      </c>
      <c r="R6" s="20" t="s">
        <v>4</v>
      </c>
      <c r="S6" s="21" t="s">
        <v>17</v>
      </c>
      <c r="T6" s="9" t="s">
        <v>4</v>
      </c>
    </row>
    <row r="7" spans="1:31" x14ac:dyDescent="0.25">
      <c r="B7" s="6">
        <v>5.5</v>
      </c>
      <c r="C7" s="174">
        <v>5.5</v>
      </c>
      <c r="D7" s="5">
        <f>T7</f>
        <v>197.82300000000001</v>
      </c>
      <c r="E7" s="174">
        <v>62</v>
      </c>
      <c r="F7" s="163">
        <v>238.2</v>
      </c>
      <c r="G7" s="166">
        <v>99.8</v>
      </c>
      <c r="H7" s="164">
        <v>0.53</v>
      </c>
      <c r="I7" s="175">
        <f>F7/G7</f>
        <v>2.3867735470941884</v>
      </c>
      <c r="K7" s="176">
        <f>F7</f>
        <v>238.2</v>
      </c>
      <c r="O7" s="22">
        <v>241</v>
      </c>
      <c r="P7" s="6">
        <v>0.51300000000000001</v>
      </c>
      <c r="Q7" s="23">
        <v>35</v>
      </c>
      <c r="R7" s="22">
        <v>179</v>
      </c>
      <c r="S7" s="23">
        <v>0.61</v>
      </c>
      <c r="T7" s="30">
        <f>(O7*P7-Q7)+(R7*S7)</f>
        <v>197.82300000000001</v>
      </c>
    </row>
    <row r="8" spans="1:31" x14ac:dyDescent="0.25">
      <c r="O8" s="24"/>
      <c r="Q8" s="25"/>
      <c r="R8" s="24"/>
      <c r="S8" s="25"/>
      <c r="T8" s="31"/>
    </row>
    <row r="9" spans="1:31" ht="15.75" x14ac:dyDescent="0.25">
      <c r="B9" s="36" t="s">
        <v>31</v>
      </c>
      <c r="F9" t="s">
        <v>313</v>
      </c>
      <c r="O9" s="24"/>
      <c r="P9" t="s">
        <v>28</v>
      </c>
      <c r="Q9" s="25" t="s">
        <v>319</v>
      </c>
      <c r="R9" s="24"/>
      <c r="S9" s="173" t="s">
        <v>29</v>
      </c>
      <c r="T9" s="31"/>
    </row>
    <row r="10" spans="1:31" ht="15.75" thickBot="1" x14ac:dyDescent="0.3">
      <c r="B10" s="32" t="s">
        <v>33</v>
      </c>
      <c r="F10" t="s">
        <v>318</v>
      </c>
      <c r="K10" t="s">
        <v>315</v>
      </c>
      <c r="M10" s="1" t="s">
        <v>317</v>
      </c>
      <c r="O10" s="26"/>
      <c r="P10" s="27">
        <f>O7*P7</f>
        <v>123.63300000000001</v>
      </c>
      <c r="Q10" s="28">
        <f>P10-Q7</f>
        <v>88.63300000000001</v>
      </c>
      <c r="R10" s="29"/>
      <c r="S10" s="28">
        <f>R7*S7</f>
        <v>109.19</v>
      </c>
      <c r="T10" s="10">
        <f>Q10+S10</f>
        <v>197.82300000000001</v>
      </c>
    </row>
    <row r="11" spans="1:31" x14ac:dyDescent="0.25">
      <c r="B11" s="2" t="s">
        <v>0</v>
      </c>
      <c r="C11" s="155" t="s">
        <v>11</v>
      </c>
      <c r="F11" s="157" t="s">
        <v>314</v>
      </c>
      <c r="G11" s="157" t="s">
        <v>278</v>
      </c>
      <c r="H11" s="157" t="s">
        <v>9</v>
      </c>
      <c r="I11" s="157" t="s">
        <v>12</v>
      </c>
      <c r="J11" s="157" t="s">
        <v>310</v>
      </c>
      <c r="K11" s="158" t="s">
        <v>311</v>
      </c>
      <c r="L11" s="159" t="s">
        <v>312</v>
      </c>
      <c r="M11" s="157" t="s">
        <v>316</v>
      </c>
    </row>
    <row r="12" spans="1:31" ht="15.75" thickBot="1" x14ac:dyDescent="0.3">
      <c r="B12" s="3" t="s">
        <v>8</v>
      </c>
      <c r="C12" s="156" t="s">
        <v>6</v>
      </c>
      <c r="E12">
        <f>F12-50</f>
        <v>90</v>
      </c>
      <c r="F12" s="120">
        <v>140</v>
      </c>
      <c r="G12" s="165">
        <v>53.83</v>
      </c>
      <c r="H12" s="121">
        <v>0.42199999999999999</v>
      </c>
      <c r="I12" s="110">
        <f t="shared" ref="I12:I26" si="0">F12/G12</f>
        <v>2.6007802340702213</v>
      </c>
      <c r="J12" s="167">
        <v>253.3</v>
      </c>
      <c r="K12" s="167">
        <v>253.5</v>
      </c>
      <c r="L12" s="167">
        <v>251.2</v>
      </c>
      <c r="M12" s="170">
        <f>L12-K12</f>
        <v>-2.3000000000000114</v>
      </c>
    </row>
    <row r="13" spans="1:31" ht="15.75" thickBot="1" x14ac:dyDescent="0.3">
      <c r="B13" s="178">
        <f>B7*2.20462</f>
        <v>12.125409999999999</v>
      </c>
      <c r="C13" s="177">
        <f>H7*B13*(K7/I7+C7)+(E7*H7)</f>
        <v>709.56700668999997</v>
      </c>
      <c r="E13">
        <f t="shared" ref="E13:E28" si="1">F13-50</f>
        <v>100</v>
      </c>
      <c r="F13" s="163">
        <v>150</v>
      </c>
      <c r="G13" s="166">
        <v>58.13</v>
      </c>
      <c r="H13" s="164">
        <v>0.43</v>
      </c>
      <c r="I13" s="110">
        <f t="shared" si="0"/>
        <v>2.5804231894030618</v>
      </c>
      <c r="J13" s="169">
        <v>276.60000000000002</v>
      </c>
      <c r="K13" s="169">
        <v>276.5</v>
      </c>
      <c r="L13" s="169">
        <v>274.10000000000002</v>
      </c>
      <c r="M13" s="171">
        <f t="shared" ref="M13:M28" si="2">L13-K13</f>
        <v>-2.3999999999999773</v>
      </c>
    </row>
    <row r="14" spans="1:31" x14ac:dyDescent="0.25">
      <c r="E14">
        <f t="shared" si="1"/>
        <v>110</v>
      </c>
      <c r="F14" s="120">
        <v>160</v>
      </c>
      <c r="G14" s="165">
        <v>62.42</v>
      </c>
      <c r="H14" s="121">
        <v>0.437</v>
      </c>
      <c r="I14" s="110">
        <f t="shared" si="0"/>
        <v>2.56328099967959</v>
      </c>
      <c r="J14" s="168">
        <v>299.89999999999998</v>
      </c>
      <c r="K14" s="168">
        <v>300.2</v>
      </c>
      <c r="L14" s="168">
        <v>298.7</v>
      </c>
      <c r="M14" s="170">
        <f t="shared" si="2"/>
        <v>-1.5</v>
      </c>
      <c r="X14" s="150"/>
      <c r="Y14" s="111"/>
      <c r="Z14" s="111"/>
      <c r="AA14" s="111"/>
      <c r="AB14" s="111"/>
      <c r="AC14" s="153" t="s">
        <v>285</v>
      </c>
      <c r="AD14" s="153" t="s">
        <v>286</v>
      </c>
      <c r="AE14" s="151"/>
    </row>
    <row r="15" spans="1:31" x14ac:dyDescent="0.25">
      <c r="C15" s="38" t="s">
        <v>7</v>
      </c>
      <c r="E15">
        <f t="shared" si="1"/>
        <v>120</v>
      </c>
      <c r="F15" s="163">
        <v>170</v>
      </c>
      <c r="G15" s="166">
        <v>66.88</v>
      </c>
      <c r="H15" s="164">
        <v>0.44600000000000001</v>
      </c>
      <c r="I15" s="110">
        <f t="shared" si="0"/>
        <v>2.5418660287081343</v>
      </c>
      <c r="J15" s="169">
        <v>326.10000000000002</v>
      </c>
      <c r="K15" s="169">
        <v>326.2</v>
      </c>
      <c r="L15" s="169">
        <v>325.10000000000002</v>
      </c>
      <c r="M15" s="171">
        <f t="shared" si="2"/>
        <v>-1.0999999999999659</v>
      </c>
      <c r="X15" s="113" t="s">
        <v>287</v>
      </c>
      <c r="Y15" s="50" t="s">
        <v>285</v>
      </c>
      <c r="Z15" s="50" t="s">
        <v>286</v>
      </c>
      <c r="AB15">
        <v>100</v>
      </c>
      <c r="AC15">
        <v>37.450000000000003</v>
      </c>
      <c r="AD15" s="13">
        <f>AB15/AC15</f>
        <v>2.6702269692923895</v>
      </c>
      <c r="AE15" s="112"/>
    </row>
    <row r="16" spans="1:31" x14ac:dyDescent="0.25">
      <c r="C16" s="39" t="s">
        <v>3</v>
      </c>
      <c r="E16">
        <f t="shared" si="1"/>
        <v>130</v>
      </c>
      <c r="F16" s="120">
        <v>180</v>
      </c>
      <c r="G16" s="165">
        <v>71.34</v>
      </c>
      <c r="H16" s="121">
        <v>0.45500000000000002</v>
      </c>
      <c r="I16" s="110">
        <f t="shared" si="0"/>
        <v>2.5231286795626575</v>
      </c>
      <c r="J16" s="167">
        <v>353</v>
      </c>
      <c r="K16" s="167">
        <v>353</v>
      </c>
      <c r="L16" s="167">
        <v>353.4</v>
      </c>
      <c r="M16" s="170">
        <f t="shared" si="2"/>
        <v>0.39999999999997726</v>
      </c>
      <c r="X16" s="113">
        <v>110</v>
      </c>
      <c r="Y16">
        <v>41.48</v>
      </c>
      <c r="Z16" s="13">
        <f>X16/Y16</f>
        <v>2.651880424300868</v>
      </c>
      <c r="AB16">
        <v>120</v>
      </c>
      <c r="AC16">
        <v>45.52</v>
      </c>
      <c r="AD16" s="13">
        <f t="shared" ref="AD16:AD25" si="3">AB16/AC16</f>
        <v>2.6362038664323371</v>
      </c>
      <c r="AE16" s="154">
        <f>(AC15+AC16)/2</f>
        <v>41.484999999999999</v>
      </c>
    </row>
    <row r="17" spans="1:31" x14ac:dyDescent="0.25">
      <c r="C17" s="172">
        <f>((D7-E7*H7)/(H7*B13)-C7)*I7</f>
        <v>48.139582505666326</v>
      </c>
      <c r="E17">
        <f t="shared" si="1"/>
        <v>140</v>
      </c>
      <c r="F17" s="163">
        <v>190</v>
      </c>
      <c r="G17" s="166">
        <v>75.989999999999995</v>
      </c>
      <c r="H17" s="164">
        <v>0.46500000000000002</v>
      </c>
      <c r="I17" s="110">
        <f t="shared" si="0"/>
        <v>2.5003289906566657</v>
      </c>
      <c r="J17" s="169">
        <v>382.4</v>
      </c>
      <c r="K17" s="169">
        <v>382.8</v>
      </c>
      <c r="L17" s="169">
        <v>384.1</v>
      </c>
      <c r="M17" s="171">
        <f t="shared" si="2"/>
        <v>1.3000000000000114</v>
      </c>
      <c r="X17" s="113">
        <v>130</v>
      </c>
      <c r="Y17">
        <v>49.67</v>
      </c>
      <c r="Z17" s="13">
        <f t="shared" ref="Z17:Z25" si="4">X17/Y17</f>
        <v>2.6172740084558082</v>
      </c>
      <c r="AB17">
        <v>140</v>
      </c>
      <c r="AC17">
        <v>53.83</v>
      </c>
      <c r="AD17" s="13">
        <f t="shared" si="3"/>
        <v>2.6007802340702213</v>
      </c>
      <c r="AE17" s="154">
        <f t="shared" ref="AE17:AE25" si="5">(AC16+AC17)/2</f>
        <v>49.674999999999997</v>
      </c>
    </row>
    <row r="18" spans="1:31" x14ac:dyDescent="0.25">
      <c r="E18">
        <f t="shared" si="1"/>
        <v>150</v>
      </c>
      <c r="F18" s="120">
        <v>200</v>
      </c>
      <c r="G18" s="165">
        <v>80.64</v>
      </c>
      <c r="H18" s="121">
        <v>0.47599999999999998</v>
      </c>
      <c r="I18" s="110">
        <f t="shared" si="0"/>
        <v>2.4801587301587302</v>
      </c>
      <c r="J18" s="167">
        <v>413.7</v>
      </c>
      <c r="K18" s="167">
        <v>413.4</v>
      </c>
      <c r="L18" s="167">
        <v>417.3</v>
      </c>
      <c r="M18" s="170">
        <f t="shared" si="2"/>
        <v>3.9000000000000341</v>
      </c>
      <c r="X18" s="113">
        <v>150</v>
      </c>
      <c r="Y18">
        <v>58.13</v>
      </c>
      <c r="Z18" s="13">
        <f t="shared" si="4"/>
        <v>2.5804231894030618</v>
      </c>
      <c r="AB18">
        <v>160</v>
      </c>
      <c r="AC18">
        <v>62.42</v>
      </c>
      <c r="AD18" s="13">
        <f t="shared" si="3"/>
        <v>2.56328099967959</v>
      </c>
      <c r="AE18" s="154">
        <f t="shared" si="5"/>
        <v>58.125</v>
      </c>
    </row>
    <row r="19" spans="1:31" x14ac:dyDescent="0.25">
      <c r="E19">
        <f t="shared" si="1"/>
        <v>160</v>
      </c>
      <c r="F19" s="163">
        <v>210</v>
      </c>
      <c r="G19" s="166">
        <v>85.52</v>
      </c>
      <c r="H19" s="164">
        <v>0.48799999999999999</v>
      </c>
      <c r="I19" s="110">
        <f t="shared" si="0"/>
        <v>2.4555659494855004</v>
      </c>
      <c r="J19" s="169">
        <v>448</v>
      </c>
      <c r="K19" s="169">
        <v>448.2</v>
      </c>
      <c r="L19" s="169">
        <v>453.3</v>
      </c>
      <c r="M19" s="171">
        <f t="shared" si="2"/>
        <v>5.1000000000000227</v>
      </c>
      <c r="X19" s="113">
        <v>170</v>
      </c>
      <c r="Y19">
        <v>66.88</v>
      </c>
      <c r="Z19" s="13">
        <f t="shared" si="4"/>
        <v>2.5418660287081343</v>
      </c>
      <c r="AB19">
        <v>180</v>
      </c>
      <c r="AC19">
        <v>71.34</v>
      </c>
      <c r="AD19" s="13">
        <f t="shared" si="3"/>
        <v>2.5231286795626575</v>
      </c>
      <c r="AE19" s="154">
        <f t="shared" si="5"/>
        <v>66.88</v>
      </c>
    </row>
    <row r="20" spans="1:31" x14ac:dyDescent="0.25">
      <c r="E20">
        <f t="shared" si="1"/>
        <v>170</v>
      </c>
      <c r="F20" s="120">
        <v>220</v>
      </c>
      <c r="G20" s="165">
        <v>90.4</v>
      </c>
      <c r="H20" s="121">
        <v>0.501</v>
      </c>
      <c r="I20" s="110">
        <f t="shared" si="0"/>
        <v>2.4336283185840708</v>
      </c>
      <c r="J20" s="167">
        <v>484.5</v>
      </c>
      <c r="K20" s="167">
        <v>484.5</v>
      </c>
      <c r="L20" s="167">
        <v>492.5</v>
      </c>
      <c r="M20" s="170">
        <f t="shared" si="2"/>
        <v>8</v>
      </c>
      <c r="X20" s="113">
        <v>190</v>
      </c>
      <c r="Y20">
        <v>75.989999999999995</v>
      </c>
      <c r="Z20" s="13">
        <f t="shared" si="4"/>
        <v>2.5003289906566657</v>
      </c>
      <c r="AB20">
        <v>200</v>
      </c>
      <c r="AC20">
        <v>80.64</v>
      </c>
      <c r="AD20" s="13">
        <f t="shared" si="3"/>
        <v>2.4801587301587302</v>
      </c>
      <c r="AE20" s="154">
        <f t="shared" si="5"/>
        <v>75.990000000000009</v>
      </c>
    </row>
    <row r="21" spans="1:31" x14ac:dyDescent="0.25">
      <c r="E21">
        <f t="shared" si="1"/>
        <v>180</v>
      </c>
      <c r="F21" s="163">
        <v>230</v>
      </c>
      <c r="G21" s="166">
        <v>95.56</v>
      </c>
      <c r="H21" s="164">
        <v>0.51700000000000002</v>
      </c>
      <c r="I21" s="110">
        <f t="shared" si="0"/>
        <v>2.4068647969861865</v>
      </c>
      <c r="J21" s="169">
        <v>526.70000000000005</v>
      </c>
      <c r="K21" s="169">
        <v>526.6</v>
      </c>
      <c r="L21" s="169">
        <v>535.20000000000005</v>
      </c>
      <c r="M21" s="171">
        <f t="shared" si="2"/>
        <v>8.6000000000000227</v>
      </c>
      <c r="X21" s="113">
        <v>210</v>
      </c>
      <c r="Y21">
        <v>85.52</v>
      </c>
      <c r="Z21" s="13">
        <f t="shared" si="4"/>
        <v>2.4555659494855004</v>
      </c>
      <c r="AB21">
        <v>220</v>
      </c>
      <c r="AC21">
        <v>90.4</v>
      </c>
      <c r="AD21" s="13">
        <f t="shared" si="3"/>
        <v>2.4336283185840708</v>
      </c>
      <c r="AE21" s="154">
        <f t="shared" si="5"/>
        <v>85.52000000000001</v>
      </c>
    </row>
    <row r="22" spans="1:31" x14ac:dyDescent="0.25">
      <c r="E22">
        <f t="shared" si="1"/>
        <v>190</v>
      </c>
      <c r="F22" s="120">
        <v>240</v>
      </c>
      <c r="G22" s="165">
        <v>100.73</v>
      </c>
      <c r="H22" s="121">
        <v>0.53300000000000003</v>
      </c>
      <c r="I22" s="110">
        <f t="shared" si="0"/>
        <v>2.3826069691253844</v>
      </c>
      <c r="J22" s="167">
        <v>570.6</v>
      </c>
      <c r="K22" s="167">
        <v>570.4</v>
      </c>
      <c r="L22" s="167">
        <v>581.70000000000005</v>
      </c>
      <c r="M22" s="170">
        <f t="shared" si="2"/>
        <v>11.300000000000068</v>
      </c>
      <c r="X22" s="113">
        <v>230</v>
      </c>
      <c r="Y22">
        <v>95.56</v>
      </c>
      <c r="Z22" s="13">
        <f t="shared" si="4"/>
        <v>2.4068647969861865</v>
      </c>
      <c r="AB22">
        <v>240</v>
      </c>
      <c r="AC22">
        <v>100.73</v>
      </c>
      <c r="AD22" s="13">
        <f t="shared" si="3"/>
        <v>2.3826069691253844</v>
      </c>
      <c r="AE22" s="154">
        <f t="shared" si="5"/>
        <v>95.564999999999998</v>
      </c>
    </row>
    <row r="23" spans="1:31" x14ac:dyDescent="0.25">
      <c r="E23">
        <f t="shared" si="1"/>
        <v>200</v>
      </c>
      <c r="F23" s="163">
        <v>250</v>
      </c>
      <c r="G23" s="166">
        <v>106.25</v>
      </c>
      <c r="H23" s="164">
        <v>0.55400000000000005</v>
      </c>
      <c r="I23" s="110">
        <f t="shared" si="0"/>
        <v>2.3529411764705883</v>
      </c>
      <c r="J23" s="169">
        <v>623.79999999999995</v>
      </c>
      <c r="K23" s="169">
        <v>623.5</v>
      </c>
      <c r="L23" s="169">
        <v>632.6</v>
      </c>
      <c r="M23" s="171">
        <f t="shared" si="2"/>
        <v>9.1000000000000227</v>
      </c>
      <c r="X23" s="113">
        <v>250</v>
      </c>
      <c r="Y23">
        <v>106.25</v>
      </c>
      <c r="Z23" s="13">
        <f t="shared" si="4"/>
        <v>2.3529411764705883</v>
      </c>
      <c r="AB23">
        <v>260</v>
      </c>
      <c r="AC23">
        <v>111.78</v>
      </c>
      <c r="AD23" s="13">
        <f t="shared" si="3"/>
        <v>2.3259974950796205</v>
      </c>
      <c r="AE23" s="154">
        <f t="shared" si="5"/>
        <v>106.255</v>
      </c>
    </row>
    <row r="24" spans="1:31" x14ac:dyDescent="0.25">
      <c r="E24">
        <f t="shared" si="1"/>
        <v>210</v>
      </c>
      <c r="F24" s="120">
        <v>260</v>
      </c>
      <c r="G24" s="165">
        <v>111.78</v>
      </c>
      <c r="H24" s="121">
        <v>0.57499999999999996</v>
      </c>
      <c r="I24" s="110">
        <f t="shared" si="0"/>
        <v>2.3259974950796205</v>
      </c>
      <c r="J24" s="167">
        <v>679.3</v>
      </c>
      <c r="K24" s="167">
        <v>679.1</v>
      </c>
      <c r="L24" s="167">
        <v>688.1</v>
      </c>
      <c r="M24" s="170">
        <f t="shared" si="2"/>
        <v>9</v>
      </c>
      <c r="X24" s="113">
        <v>270</v>
      </c>
      <c r="Y24">
        <v>110.81</v>
      </c>
      <c r="Z24" s="13">
        <f t="shared" si="4"/>
        <v>2.436603194657522</v>
      </c>
      <c r="AB24">
        <v>280</v>
      </c>
      <c r="AC24">
        <v>123.84</v>
      </c>
      <c r="AD24" s="13">
        <f t="shared" si="3"/>
        <v>2.2609819121447026</v>
      </c>
      <c r="AE24" s="154">
        <f t="shared" si="5"/>
        <v>117.81</v>
      </c>
    </row>
    <row r="25" spans="1:31" x14ac:dyDescent="0.25">
      <c r="E25">
        <f t="shared" si="1"/>
        <v>220</v>
      </c>
      <c r="F25" s="163">
        <v>270</v>
      </c>
      <c r="G25" s="166">
        <v>117.81</v>
      </c>
      <c r="H25" s="164">
        <v>0.60499999999999998</v>
      </c>
      <c r="I25" s="110">
        <f t="shared" si="0"/>
        <v>2.2918258212375857</v>
      </c>
      <c r="J25" s="169">
        <v>751.4</v>
      </c>
      <c r="K25" s="169">
        <v>751.1</v>
      </c>
      <c r="L25" s="169">
        <v>748.9</v>
      </c>
      <c r="M25" s="171">
        <f t="shared" si="2"/>
        <v>-2.2000000000000455</v>
      </c>
      <c r="X25" s="113">
        <v>290</v>
      </c>
      <c r="Y25">
        <v>129.54</v>
      </c>
      <c r="Z25" s="13">
        <f t="shared" si="4"/>
        <v>2.238690751891308</v>
      </c>
      <c r="AB25">
        <v>297</v>
      </c>
      <c r="AC25">
        <v>135.25</v>
      </c>
      <c r="AD25" s="13">
        <f t="shared" si="3"/>
        <v>2.1959334565619222</v>
      </c>
      <c r="AE25" s="154">
        <f t="shared" si="5"/>
        <v>129.54500000000002</v>
      </c>
    </row>
    <row r="26" spans="1:31" x14ac:dyDescent="0.25">
      <c r="E26">
        <f t="shared" si="1"/>
        <v>230</v>
      </c>
      <c r="F26" s="120">
        <v>280</v>
      </c>
      <c r="G26" s="165">
        <v>123.84</v>
      </c>
      <c r="H26" s="121">
        <v>0.63500000000000001</v>
      </c>
      <c r="I26" s="110">
        <f t="shared" si="0"/>
        <v>2.2609819121447026</v>
      </c>
      <c r="J26" s="167">
        <v>827</v>
      </c>
      <c r="K26" s="167">
        <v>826.9</v>
      </c>
      <c r="L26" s="167">
        <v>815.5</v>
      </c>
      <c r="M26" s="170">
        <f t="shared" si="2"/>
        <v>-11.399999999999977</v>
      </c>
      <c r="X26" s="113">
        <v>310</v>
      </c>
      <c r="AE26" s="112"/>
    </row>
    <row r="27" spans="1:31" x14ac:dyDescent="0.25">
      <c r="E27">
        <f t="shared" si="1"/>
        <v>240</v>
      </c>
      <c r="F27" s="163">
        <v>290</v>
      </c>
      <c r="G27" s="166">
        <v>130.5</v>
      </c>
      <c r="H27" s="164">
        <v>0.68200000000000005</v>
      </c>
      <c r="I27" s="110">
        <f t="shared" ref="I27" si="6">F27/G27</f>
        <v>2.2222222222222223</v>
      </c>
      <c r="J27" s="169">
        <v>933.8</v>
      </c>
      <c r="K27" s="169">
        <v>933.7</v>
      </c>
      <c r="L27" s="169">
        <v>888.4</v>
      </c>
      <c r="M27" s="171">
        <f t="shared" si="2"/>
        <v>-45.300000000000068</v>
      </c>
      <c r="X27" s="113"/>
      <c r="AE27" s="112"/>
    </row>
    <row r="28" spans="1:31" x14ac:dyDescent="0.25">
      <c r="A28" t="s">
        <v>51</v>
      </c>
      <c r="E28">
        <f t="shared" si="1"/>
        <v>247</v>
      </c>
      <c r="F28" s="120">
        <v>297</v>
      </c>
      <c r="G28" s="165">
        <v>135.25</v>
      </c>
      <c r="H28" s="121">
        <v>0.71399999999999997</v>
      </c>
      <c r="I28" s="110">
        <f>F28/G28</f>
        <v>2.1959334565619222</v>
      </c>
      <c r="J28" s="167">
        <v>1011.7</v>
      </c>
      <c r="K28" s="167">
        <v>1011.9</v>
      </c>
      <c r="L28" s="167">
        <v>934.7</v>
      </c>
      <c r="M28" s="170">
        <f t="shared" si="2"/>
        <v>-77.199999999999932</v>
      </c>
      <c r="X28" s="113"/>
      <c r="AC28" s="50" t="s">
        <v>288</v>
      </c>
      <c r="AE28" s="112"/>
    </row>
    <row r="29" spans="1:31" x14ac:dyDescent="0.25">
      <c r="A29" s="43" t="s">
        <v>50</v>
      </c>
      <c r="F29" s="163">
        <v>178.2</v>
      </c>
      <c r="G29" s="166">
        <v>70.540000000000006</v>
      </c>
      <c r="H29" s="164">
        <v>0.45300000000000001</v>
      </c>
      <c r="X29" s="113" t="s">
        <v>287</v>
      </c>
      <c r="Y29" s="50" t="s">
        <v>288</v>
      </c>
      <c r="AB29">
        <v>100</v>
      </c>
      <c r="AC29">
        <v>0.39800000000000002</v>
      </c>
      <c r="AE29" s="112"/>
    </row>
    <row r="30" spans="1:31" x14ac:dyDescent="0.25">
      <c r="F30" s="163">
        <v>238.2</v>
      </c>
      <c r="G30" s="166">
        <v>99.8</v>
      </c>
      <c r="H30" s="164">
        <v>0.53</v>
      </c>
      <c r="X30" s="113">
        <v>110</v>
      </c>
      <c r="Y30">
        <v>0.40300000000000002</v>
      </c>
      <c r="Z30" s="13"/>
      <c r="AB30">
        <v>120</v>
      </c>
      <c r="AC30">
        <v>0.40899999999999997</v>
      </c>
      <c r="AD30" s="13">
        <f>(AC29+AC30)/2</f>
        <v>0.40349999999999997</v>
      </c>
      <c r="AE30" s="112"/>
    </row>
    <row r="31" spans="1:31" x14ac:dyDescent="0.25">
      <c r="X31" s="113">
        <v>130</v>
      </c>
      <c r="Y31">
        <v>0.41599999999999998</v>
      </c>
      <c r="Z31" s="13"/>
      <c r="AB31">
        <v>140</v>
      </c>
      <c r="AC31">
        <v>0.42199999999999999</v>
      </c>
      <c r="AD31" s="13">
        <f t="shared" ref="AD31:AD39" si="7">(AC30+AC31)/2</f>
        <v>0.41549999999999998</v>
      </c>
      <c r="AE31" s="112"/>
    </row>
    <row r="32" spans="1:31" x14ac:dyDescent="0.25">
      <c r="F32" s="150"/>
      <c r="G32" s="111" t="s">
        <v>308</v>
      </c>
      <c r="H32" s="111"/>
      <c r="I32" s="111"/>
      <c r="J32" s="111" t="s">
        <v>288</v>
      </c>
      <c r="K32" s="151"/>
      <c r="X32" s="113">
        <v>150</v>
      </c>
      <c r="Y32">
        <v>0.43</v>
      </c>
      <c r="Z32" s="13"/>
      <c r="AB32">
        <v>160</v>
      </c>
      <c r="AC32">
        <v>0.437</v>
      </c>
      <c r="AD32" s="13">
        <f t="shared" si="7"/>
        <v>0.42949999999999999</v>
      </c>
      <c r="AE32" s="112"/>
    </row>
    <row r="33" spans="6:31" x14ac:dyDescent="0.25">
      <c r="F33" s="160">
        <v>280</v>
      </c>
      <c r="G33" s="62">
        <v>123.84</v>
      </c>
      <c r="I33" s="62">
        <v>280</v>
      </c>
      <c r="J33" s="62">
        <v>0.63400000000000001</v>
      </c>
      <c r="K33" s="112"/>
      <c r="X33" s="113">
        <v>170</v>
      </c>
      <c r="Y33">
        <v>0.44600000000000001</v>
      </c>
      <c r="Z33" s="13"/>
      <c r="AB33">
        <v>180</v>
      </c>
      <c r="AC33">
        <v>0.45500000000000002</v>
      </c>
      <c r="AD33" s="13">
        <f t="shared" si="7"/>
        <v>0.44600000000000001</v>
      </c>
      <c r="AE33" s="112"/>
    </row>
    <row r="34" spans="6:31" x14ac:dyDescent="0.25">
      <c r="F34" s="160">
        <v>297</v>
      </c>
      <c r="G34" s="62">
        <v>135.25</v>
      </c>
      <c r="I34" s="62">
        <v>297</v>
      </c>
      <c r="J34" s="62">
        <v>0.71399999999999997</v>
      </c>
      <c r="K34" s="112"/>
      <c r="X34" s="113">
        <v>190</v>
      </c>
      <c r="Y34">
        <v>0.46500000000000002</v>
      </c>
      <c r="Z34" s="13"/>
      <c r="AB34">
        <v>200</v>
      </c>
      <c r="AC34">
        <v>0.47599999999999998</v>
      </c>
      <c r="AD34" s="13">
        <f t="shared" si="7"/>
        <v>0.46550000000000002</v>
      </c>
      <c r="AE34" s="112"/>
    </row>
    <row r="35" spans="6:31" x14ac:dyDescent="0.25">
      <c r="F35" s="113"/>
      <c r="K35" s="112"/>
      <c r="X35" s="113">
        <v>210</v>
      </c>
      <c r="Y35">
        <v>0.48799999999999999</v>
      </c>
      <c r="Z35" s="13"/>
      <c r="AB35">
        <v>220</v>
      </c>
      <c r="AC35">
        <v>0.501</v>
      </c>
      <c r="AD35" s="13">
        <f t="shared" si="7"/>
        <v>0.48849999999999999</v>
      </c>
      <c r="AE35" s="112"/>
    </row>
    <row r="36" spans="6:31" x14ac:dyDescent="0.25">
      <c r="F36" s="113"/>
      <c r="G36">
        <f>G34-G33</f>
        <v>11.409999999999997</v>
      </c>
      <c r="H36" t="s">
        <v>306</v>
      </c>
      <c r="J36">
        <f>J34-J33</f>
        <v>7.999999999999996E-2</v>
      </c>
      <c r="K36" s="112" t="s">
        <v>306</v>
      </c>
      <c r="X36" s="113">
        <v>230</v>
      </c>
      <c r="Y36">
        <v>0.51700000000000002</v>
      </c>
      <c r="Z36" s="13"/>
      <c r="AB36">
        <v>240</v>
      </c>
      <c r="AC36">
        <v>0.53300000000000003</v>
      </c>
      <c r="AD36" s="13">
        <f t="shared" si="7"/>
        <v>0.51700000000000002</v>
      </c>
      <c r="AE36" s="112"/>
    </row>
    <row r="37" spans="6:31" x14ac:dyDescent="0.25">
      <c r="F37" s="113"/>
      <c r="G37" s="62">
        <v>17</v>
      </c>
      <c r="H37" t="s">
        <v>307</v>
      </c>
      <c r="J37" s="62">
        <v>17</v>
      </c>
      <c r="K37" s="112" t="s">
        <v>307</v>
      </c>
      <c r="X37" s="113">
        <v>250</v>
      </c>
      <c r="Y37">
        <v>0.55400000000000005</v>
      </c>
      <c r="Z37" s="13"/>
      <c r="AB37">
        <v>260</v>
      </c>
      <c r="AC37">
        <v>0.57499999999999996</v>
      </c>
      <c r="AD37" s="13">
        <f t="shared" si="7"/>
        <v>0.55400000000000005</v>
      </c>
      <c r="AE37" s="112"/>
    </row>
    <row r="38" spans="6:31" x14ac:dyDescent="0.25">
      <c r="F38" s="113"/>
      <c r="G38" s="51">
        <f>G36/G37</f>
        <v>0.67117647058823504</v>
      </c>
      <c r="H38" t="s">
        <v>305</v>
      </c>
      <c r="J38" s="51">
        <f>J36/J37</f>
        <v>4.7058823529411743E-3</v>
      </c>
      <c r="K38" s="112" t="s">
        <v>305</v>
      </c>
      <c r="X38" s="113">
        <v>270</v>
      </c>
      <c r="Y38">
        <v>0.60499999999999998</v>
      </c>
      <c r="Z38" s="13"/>
      <c r="AB38">
        <v>280</v>
      </c>
      <c r="AC38">
        <v>0.63500000000000001</v>
      </c>
      <c r="AD38" s="13">
        <f t="shared" si="7"/>
        <v>0.60499999999999998</v>
      </c>
      <c r="AE38" s="112"/>
    </row>
    <row r="39" spans="6:31" x14ac:dyDescent="0.25">
      <c r="F39" s="161"/>
      <c r="I39" s="65"/>
      <c r="K39" s="112"/>
      <c r="X39" s="113">
        <v>290</v>
      </c>
      <c r="Y39">
        <v>0.67500000000000004</v>
      </c>
      <c r="Z39" s="13"/>
      <c r="AB39">
        <v>297</v>
      </c>
      <c r="AC39">
        <v>0.71399999999999997</v>
      </c>
      <c r="AD39" s="13">
        <f t="shared" si="7"/>
        <v>0.67449999999999999</v>
      </c>
      <c r="AE39" s="112"/>
    </row>
    <row r="40" spans="6:31" x14ac:dyDescent="0.25">
      <c r="F40" s="113"/>
      <c r="K40" s="112"/>
      <c r="X40" s="114">
        <v>310</v>
      </c>
      <c r="Y40" s="115"/>
      <c r="Z40" s="115"/>
      <c r="AA40" s="115"/>
      <c r="AB40" s="115"/>
      <c r="AC40" s="115"/>
      <c r="AD40" s="115"/>
      <c r="AE40" s="116"/>
    </row>
    <row r="41" spans="6:31" x14ac:dyDescent="0.25">
      <c r="F41" s="113"/>
      <c r="G41">
        <f>G33</f>
        <v>123.84</v>
      </c>
      <c r="J41">
        <f>J33</f>
        <v>0.63400000000000001</v>
      </c>
      <c r="K41" s="112"/>
    </row>
    <row r="42" spans="6:31" x14ac:dyDescent="0.25">
      <c r="F42" s="113"/>
      <c r="G42" s="62">
        <v>10</v>
      </c>
      <c r="H42" t="s">
        <v>307</v>
      </c>
      <c r="J42" s="62">
        <v>10</v>
      </c>
      <c r="K42" s="112" t="s">
        <v>307</v>
      </c>
    </row>
    <row r="43" spans="6:31" x14ac:dyDescent="0.25">
      <c r="F43" s="113"/>
      <c r="G43" s="162">
        <f>G38*G42</f>
        <v>6.7117647058823504</v>
      </c>
      <c r="H43" t="s">
        <v>309</v>
      </c>
      <c r="J43" s="162">
        <f>J38*J42</f>
        <v>4.7058823529411743E-2</v>
      </c>
      <c r="K43" s="112" t="s">
        <v>309</v>
      </c>
    </row>
    <row r="44" spans="6:31" x14ac:dyDescent="0.25">
      <c r="F44" s="113"/>
      <c r="G44" s="65">
        <f>G41+G43</f>
        <v>130.55176470588236</v>
      </c>
      <c r="J44" s="13">
        <f>J41+J43</f>
        <v>0.68105882352941172</v>
      </c>
      <c r="K44" s="112"/>
    </row>
    <row r="45" spans="6:31" x14ac:dyDescent="0.25">
      <c r="F45" s="114"/>
      <c r="G45" s="115"/>
      <c r="H45" s="115"/>
      <c r="I45" s="115"/>
      <c r="J45" s="115"/>
      <c r="K45" s="116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8E438-B2F8-4E89-8958-29A6890A17FD}">
  <sheetPr transitionEvaluation="1" transitionEntry="1" codeName="Sheet4"/>
  <dimension ref="A2:V29"/>
  <sheetViews>
    <sheetView showGridLines="0" zoomScale="90" zoomScaleNormal="90" workbookViewId="0"/>
  </sheetViews>
  <sheetFormatPr defaultRowHeight="15" x14ac:dyDescent="0.25"/>
  <cols>
    <col min="2" max="3" width="12.7109375" customWidth="1"/>
    <col min="4" max="4" width="14.42578125" customWidth="1"/>
    <col min="5" max="5" width="14.140625" customWidth="1"/>
    <col min="6" max="6" width="13.140625" customWidth="1"/>
    <col min="7" max="13" width="12.7109375" customWidth="1"/>
    <col min="15" max="15" width="12.28515625" customWidth="1"/>
    <col min="16" max="16" width="13.7109375" customWidth="1"/>
    <col min="17" max="17" width="10" customWidth="1"/>
    <col min="18" max="18" width="13.140625" customWidth="1"/>
    <col min="19" max="19" width="10.7109375" customWidth="1"/>
  </cols>
  <sheetData>
    <row r="2" spans="1:22" ht="15.75" x14ac:dyDescent="0.25">
      <c r="A2" s="60" t="s">
        <v>313</v>
      </c>
      <c r="C2" s="36" t="s">
        <v>30</v>
      </c>
      <c r="D2" s="36" t="s">
        <v>31</v>
      </c>
      <c r="E2" s="36" t="s">
        <v>34</v>
      </c>
      <c r="F2" s="36" t="s">
        <v>39</v>
      </c>
      <c r="H2" s="36"/>
      <c r="I2" s="36"/>
      <c r="J2" s="36" t="s">
        <v>32</v>
      </c>
      <c r="K2" s="36" t="s">
        <v>40</v>
      </c>
      <c r="L2" s="1"/>
      <c r="M2" s="1"/>
      <c r="N2" s="1"/>
      <c r="O2" s="1"/>
      <c r="P2" s="1"/>
      <c r="Q2" s="1"/>
      <c r="R2" s="1"/>
      <c r="S2" s="1"/>
    </row>
    <row r="3" spans="1:22" ht="15.75" x14ac:dyDescent="0.25">
      <c r="C3" s="36"/>
      <c r="D3" s="36"/>
      <c r="E3" s="147" t="s">
        <v>35</v>
      </c>
      <c r="F3" s="36"/>
      <c r="H3" s="36"/>
      <c r="I3" s="36"/>
      <c r="J3" s="147" t="s">
        <v>38</v>
      </c>
      <c r="K3" s="147" t="s">
        <v>42</v>
      </c>
      <c r="L3" s="1"/>
      <c r="M3" s="1"/>
      <c r="N3" s="1"/>
      <c r="O3" s="1"/>
      <c r="P3" s="1"/>
      <c r="Q3" s="1"/>
      <c r="R3" s="1"/>
      <c r="S3" s="1"/>
    </row>
    <row r="4" spans="1:22" x14ac:dyDescent="0.25">
      <c r="C4" s="32" t="s">
        <v>37</v>
      </c>
      <c r="D4" s="32" t="s">
        <v>301</v>
      </c>
      <c r="E4" s="32" t="s">
        <v>33</v>
      </c>
      <c r="F4" s="32" t="s">
        <v>302</v>
      </c>
      <c r="H4" s="37" t="s">
        <v>41</v>
      </c>
      <c r="I4" s="16"/>
      <c r="J4" s="32" t="s">
        <v>300</v>
      </c>
      <c r="K4" s="32" t="s">
        <v>303</v>
      </c>
      <c r="L4" s="1"/>
      <c r="M4" s="1"/>
      <c r="N4" s="16" t="s">
        <v>22</v>
      </c>
      <c r="O4" s="16" t="s">
        <v>23</v>
      </c>
      <c r="P4" s="16" t="s">
        <v>25</v>
      </c>
      <c r="Q4" s="16" t="s">
        <v>26</v>
      </c>
      <c r="R4" s="16" t="s">
        <v>24</v>
      </c>
      <c r="S4" s="16" t="s">
        <v>27</v>
      </c>
      <c r="T4" s="16"/>
      <c r="U4" s="16"/>
      <c r="V4" s="16"/>
    </row>
    <row r="5" spans="1:22" x14ac:dyDescent="0.25">
      <c r="C5" s="2" t="s">
        <v>14</v>
      </c>
      <c r="D5" s="2" t="s">
        <v>5</v>
      </c>
      <c r="E5" s="2" t="s">
        <v>0</v>
      </c>
      <c r="F5" s="2" t="s">
        <v>1</v>
      </c>
      <c r="H5" s="2" t="s">
        <v>19</v>
      </c>
      <c r="I5" s="7" t="s">
        <v>20</v>
      </c>
      <c r="J5" s="2" t="s">
        <v>9</v>
      </c>
      <c r="K5" s="2" t="s">
        <v>12</v>
      </c>
      <c r="L5" s="38" t="s">
        <v>7</v>
      </c>
      <c r="N5" s="17" t="s">
        <v>15</v>
      </c>
      <c r="O5" s="18" t="s">
        <v>16</v>
      </c>
      <c r="P5" s="19" t="s">
        <v>21</v>
      </c>
      <c r="Q5" s="17" t="s">
        <v>13</v>
      </c>
      <c r="R5" s="19" t="s">
        <v>18</v>
      </c>
      <c r="S5" s="8" t="s">
        <v>14</v>
      </c>
    </row>
    <row r="6" spans="1:22" x14ac:dyDescent="0.25">
      <c r="C6" s="3" t="s">
        <v>4</v>
      </c>
      <c r="D6" s="3" t="s">
        <v>6</v>
      </c>
      <c r="E6" s="3" t="s">
        <v>8</v>
      </c>
      <c r="F6" s="3" t="s">
        <v>3</v>
      </c>
      <c r="H6" s="3" t="s">
        <v>3</v>
      </c>
      <c r="I6" s="3" t="s">
        <v>3</v>
      </c>
      <c r="J6" s="3" t="s">
        <v>10</v>
      </c>
      <c r="K6" s="3" t="s">
        <v>10</v>
      </c>
      <c r="L6" s="39" t="s">
        <v>3</v>
      </c>
      <c r="N6" s="20" t="s">
        <v>4</v>
      </c>
      <c r="O6" s="3" t="s">
        <v>17</v>
      </c>
      <c r="P6" s="21" t="s">
        <v>4</v>
      </c>
      <c r="Q6" s="20" t="s">
        <v>4</v>
      </c>
      <c r="R6" s="21" t="s">
        <v>17</v>
      </c>
      <c r="S6" s="9" t="s">
        <v>4</v>
      </c>
    </row>
    <row r="7" spans="1:22" x14ac:dyDescent="0.25">
      <c r="C7" s="5">
        <f>S7</f>
        <v>197.82300000000001</v>
      </c>
      <c r="D7" s="59">
        <v>62</v>
      </c>
      <c r="E7" s="4">
        <f>E12*2.20462</f>
        <v>10.031020999999999</v>
      </c>
      <c r="F7" s="59">
        <v>6</v>
      </c>
      <c r="H7" s="59">
        <v>99.76</v>
      </c>
      <c r="I7" s="148">
        <v>37.356000000000002</v>
      </c>
      <c r="J7" s="59">
        <v>0.39700000000000002</v>
      </c>
      <c r="K7" s="14">
        <f>H7/I7</f>
        <v>2.6705214691080417</v>
      </c>
      <c r="L7" s="41">
        <v>108.4</v>
      </c>
      <c r="N7" s="22">
        <v>241</v>
      </c>
      <c r="O7" s="6">
        <v>0.51300000000000001</v>
      </c>
      <c r="P7" s="6">
        <v>35</v>
      </c>
      <c r="Q7" s="59">
        <v>179</v>
      </c>
      <c r="R7" s="23">
        <v>0.61</v>
      </c>
      <c r="S7" s="149">
        <f>(N7*O7-P7)+(Q7*R7)</f>
        <v>197.82300000000001</v>
      </c>
    </row>
    <row r="8" spans="1:22" ht="15.75" thickBot="1" x14ac:dyDescent="0.3">
      <c r="N8" s="24"/>
      <c r="P8" s="25"/>
      <c r="Q8" s="24"/>
      <c r="R8" s="25"/>
      <c r="S8" s="31"/>
    </row>
    <row r="9" spans="1:22" x14ac:dyDescent="0.25">
      <c r="E9" s="32" t="s">
        <v>35</v>
      </c>
      <c r="G9" s="52" t="s">
        <v>79</v>
      </c>
      <c r="L9" s="38" t="s">
        <v>11</v>
      </c>
      <c r="N9" s="24"/>
      <c r="O9" t="s">
        <v>28</v>
      </c>
      <c r="P9" s="25"/>
      <c r="Q9" s="24"/>
      <c r="R9" s="25" t="s">
        <v>29</v>
      </c>
      <c r="S9" s="31"/>
    </row>
    <row r="10" spans="1:22" ht="15.75" thickBot="1" x14ac:dyDescent="0.3">
      <c r="E10" s="2" t="s">
        <v>0</v>
      </c>
      <c r="G10" s="34" t="s">
        <v>3</v>
      </c>
      <c r="L10" s="39" t="s">
        <v>6</v>
      </c>
      <c r="N10" s="26"/>
      <c r="O10" s="27">
        <f>N7*O7</f>
        <v>123.63300000000001</v>
      </c>
      <c r="P10" s="28">
        <f>O10-P7</f>
        <v>88.63300000000001</v>
      </c>
      <c r="Q10" s="29"/>
      <c r="R10" s="28">
        <f>Q7*R7</f>
        <v>109.19</v>
      </c>
      <c r="S10" s="10">
        <f>P10+R10</f>
        <v>197.82300000000001</v>
      </c>
    </row>
    <row r="11" spans="1:22" ht="15.75" thickBot="1" x14ac:dyDescent="0.3">
      <c r="E11" s="3" t="s">
        <v>2</v>
      </c>
      <c r="G11" s="33">
        <f>((C7-D7*J7)/(J7*E7)-F7)*K7</f>
        <v>100.12999166907372</v>
      </c>
      <c r="K11" s="2"/>
      <c r="L11" s="40">
        <f>J7*E7*(L7/K7+F7)+(D7*J7)</f>
        <v>210.15534085340099</v>
      </c>
    </row>
    <row r="12" spans="1:22" x14ac:dyDescent="0.25">
      <c r="E12" s="6">
        <v>4.55</v>
      </c>
      <c r="K12" s="3"/>
    </row>
    <row r="13" spans="1:22" x14ac:dyDescent="0.25">
      <c r="E13" s="1"/>
      <c r="G13" s="42">
        <f>((C7-D7*J7)/(J7*E7)-F7)*K7</f>
        <v>100.12999166907372</v>
      </c>
      <c r="H13" s="59">
        <v>99.76</v>
      </c>
      <c r="I13" s="148">
        <v>37.356000000000002</v>
      </c>
      <c r="J13" s="59">
        <v>0.39700000000000002</v>
      </c>
      <c r="K13" s="14">
        <f>H13/I13</f>
        <v>2.6705214691080417</v>
      </c>
      <c r="P13" s="7" t="s">
        <v>79</v>
      </c>
      <c r="Q13" s="7" t="s">
        <v>13</v>
      </c>
    </row>
    <row r="14" spans="1:22" x14ac:dyDescent="0.25">
      <c r="H14" s="59">
        <v>100</v>
      </c>
      <c r="I14" s="148">
        <v>37.450000000000003</v>
      </c>
      <c r="J14" s="59">
        <v>0.39800000000000002</v>
      </c>
      <c r="K14" s="14">
        <f>H14/I14</f>
        <v>2.6702269692923895</v>
      </c>
      <c r="P14" s="152">
        <v>98.8</v>
      </c>
      <c r="Q14" s="152">
        <v>180</v>
      </c>
    </row>
    <row r="15" spans="1:22" x14ac:dyDescent="0.25">
      <c r="G15" s="12"/>
      <c r="H15" s="59">
        <v>100.2</v>
      </c>
      <c r="I15" s="148">
        <v>37.53</v>
      </c>
      <c r="J15" s="59">
        <v>0.39800000000000002</v>
      </c>
      <c r="K15" s="14">
        <f>H15/I15</f>
        <v>2.6698641087130297</v>
      </c>
    </row>
    <row r="16" spans="1:22" x14ac:dyDescent="0.25">
      <c r="G16" s="12"/>
      <c r="J16" s="35"/>
      <c r="K16" s="15"/>
    </row>
    <row r="17" spans="1:11" x14ac:dyDescent="0.25">
      <c r="H17" s="59">
        <v>106.3</v>
      </c>
      <c r="I17" s="148">
        <v>39.99</v>
      </c>
      <c r="J17" s="59">
        <v>0.40100000000000002</v>
      </c>
      <c r="K17" s="14">
        <f>H17/I17</f>
        <v>2.6581645411352834</v>
      </c>
    </row>
    <row r="18" spans="1:11" x14ac:dyDescent="0.25">
      <c r="A18" s="150"/>
      <c r="B18" s="111"/>
      <c r="C18" s="111"/>
      <c r="D18" s="111"/>
      <c r="E18" s="151"/>
    </row>
    <row r="19" spans="1:11" x14ac:dyDescent="0.25">
      <c r="A19" s="113"/>
      <c r="E19" s="112"/>
    </row>
    <row r="20" spans="1:11" x14ac:dyDescent="0.25">
      <c r="A20" s="113"/>
      <c r="E20" s="112"/>
      <c r="H20" s="59">
        <v>108.3</v>
      </c>
      <c r="I20" s="148">
        <v>40.796999999999997</v>
      </c>
      <c r="J20" s="59">
        <v>0.40200000000000002</v>
      </c>
      <c r="K20" s="14">
        <f>H20/I20</f>
        <v>2.6546069563938528</v>
      </c>
    </row>
    <row r="21" spans="1:11" x14ac:dyDescent="0.25">
      <c r="A21" s="113"/>
      <c r="E21" s="112"/>
    </row>
    <row r="22" spans="1:11" x14ac:dyDescent="0.25">
      <c r="A22" s="113"/>
      <c r="E22" s="112"/>
    </row>
    <row r="23" spans="1:11" x14ac:dyDescent="0.25">
      <c r="A23" s="113"/>
      <c r="E23" s="112"/>
    </row>
    <row r="24" spans="1:11" x14ac:dyDescent="0.25">
      <c r="A24" s="113"/>
      <c r="E24" s="112"/>
    </row>
    <row r="25" spans="1:11" x14ac:dyDescent="0.25">
      <c r="A25" s="113"/>
      <c r="E25" s="112"/>
    </row>
    <row r="26" spans="1:11" x14ac:dyDescent="0.25">
      <c r="A26" s="113"/>
      <c r="E26" s="112"/>
    </row>
    <row r="27" spans="1:11" x14ac:dyDescent="0.25">
      <c r="A27" s="114"/>
      <c r="B27" s="115"/>
      <c r="C27" s="115"/>
      <c r="D27" s="115"/>
      <c r="E27" s="116"/>
    </row>
    <row r="29" spans="1:11" x14ac:dyDescent="0.25">
      <c r="A29" t="s">
        <v>51</v>
      </c>
      <c r="B29" s="43" t="s">
        <v>49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5898F-611A-42B4-9B97-90B2A74A394F}">
  <sheetPr transitionEvaluation="1" transitionEntry="1"/>
  <dimension ref="A1:X80"/>
  <sheetViews>
    <sheetView showGridLines="0" topLeftCell="A10" zoomScale="90" zoomScaleNormal="90" workbookViewId="0">
      <selection activeCell="N17" sqref="N17:S19"/>
    </sheetView>
  </sheetViews>
  <sheetFormatPr defaultRowHeight="15" x14ac:dyDescent="0.25"/>
  <cols>
    <col min="1" max="1" width="5.42578125" customWidth="1"/>
    <col min="2" max="2" width="14" customWidth="1"/>
    <col min="3" max="3" width="11.7109375" customWidth="1"/>
    <col min="4" max="4" width="13.7109375" customWidth="1"/>
    <col min="5" max="15" width="11.7109375" customWidth="1"/>
    <col min="16" max="16" width="10.7109375" customWidth="1"/>
    <col min="17" max="17" width="12.85546875" customWidth="1"/>
    <col min="18" max="18" width="13" customWidth="1"/>
  </cols>
  <sheetData>
    <row r="1" spans="1:21" ht="15.75" x14ac:dyDescent="0.25">
      <c r="B1" t="s">
        <v>294</v>
      </c>
      <c r="C1" s="107" t="s">
        <v>291</v>
      </c>
      <c r="Q1" s="122" t="s">
        <v>276</v>
      </c>
      <c r="R1" s="45"/>
      <c r="S1" s="45"/>
      <c r="T1" s="45"/>
      <c r="U1" s="46"/>
    </row>
    <row r="2" spans="1:21" x14ac:dyDescent="0.25">
      <c r="A2" s="60" t="s">
        <v>375</v>
      </c>
      <c r="C2" s="15" t="s">
        <v>292</v>
      </c>
      <c r="M2" s="62"/>
      <c r="Q2" s="24" t="s">
        <v>289</v>
      </c>
      <c r="U2" s="25"/>
    </row>
    <row r="3" spans="1:21" x14ac:dyDescent="0.25">
      <c r="A3" s="60"/>
      <c r="C3" s="15"/>
      <c r="M3" s="62"/>
      <c r="Q3" s="24"/>
      <c r="U3" s="25"/>
    </row>
    <row r="4" spans="1:21" ht="15.75" x14ac:dyDescent="0.25">
      <c r="A4" s="60"/>
      <c r="B4" s="299" t="s">
        <v>439</v>
      </c>
      <c r="C4" s="15"/>
      <c r="M4" s="62"/>
      <c r="Q4" s="24"/>
      <c r="U4" s="25"/>
    </row>
    <row r="5" spans="1:21" x14ac:dyDescent="0.25">
      <c r="C5" s="15"/>
      <c r="M5" s="62"/>
      <c r="Q5" s="123" t="s">
        <v>70</v>
      </c>
      <c r="R5" s="2" t="s">
        <v>278</v>
      </c>
      <c r="S5" s="2" t="s">
        <v>277</v>
      </c>
      <c r="T5" s="7" t="s">
        <v>61</v>
      </c>
      <c r="U5" s="25"/>
    </row>
    <row r="6" spans="1:21" x14ac:dyDescent="0.25">
      <c r="B6" s="15" t="s">
        <v>293</v>
      </c>
      <c r="Q6" s="20" t="s">
        <v>3</v>
      </c>
      <c r="R6" s="3" t="s">
        <v>3</v>
      </c>
      <c r="S6" s="3" t="s">
        <v>2</v>
      </c>
      <c r="T6" s="3" t="s">
        <v>10</v>
      </c>
      <c r="U6" s="25"/>
    </row>
    <row r="7" spans="1:21" x14ac:dyDescent="0.25">
      <c r="C7" s="65">
        <f>F19*B23*(K19/I19+C19)+(E19*F19)</f>
        <v>242.67102922079158</v>
      </c>
      <c r="E7" s="15" t="s">
        <v>298</v>
      </c>
      <c r="Q7" s="22">
        <v>8</v>
      </c>
      <c r="R7" s="6">
        <v>37.450000000000003</v>
      </c>
      <c r="S7" s="6">
        <v>4.5</v>
      </c>
      <c r="T7" s="35">
        <v>0.44</v>
      </c>
      <c r="U7" s="25"/>
    </row>
    <row r="8" spans="1:21" x14ac:dyDescent="0.25">
      <c r="E8" s="145" t="s">
        <v>296</v>
      </c>
      <c r="F8" s="145" t="s">
        <v>295</v>
      </c>
      <c r="G8" s="145"/>
      <c r="H8" s="117" t="s">
        <v>32</v>
      </c>
      <c r="I8" s="117" t="s">
        <v>34</v>
      </c>
      <c r="J8" s="145" t="s">
        <v>297</v>
      </c>
      <c r="K8" s="118"/>
      <c r="L8" s="146" t="s">
        <v>40</v>
      </c>
      <c r="M8" s="146" t="s">
        <v>281</v>
      </c>
      <c r="Q8" s="124"/>
      <c r="U8" s="25"/>
    </row>
    <row r="9" spans="1:21" x14ac:dyDescent="0.25">
      <c r="E9" s="102" t="s">
        <v>274</v>
      </c>
      <c r="G9" s="102" t="s">
        <v>275</v>
      </c>
      <c r="J9" s="102" t="s">
        <v>36</v>
      </c>
      <c r="K9" s="15" t="s">
        <v>299</v>
      </c>
      <c r="L9" s="15"/>
      <c r="Q9" s="124"/>
      <c r="S9" s="102" t="s">
        <v>269</v>
      </c>
      <c r="U9" s="25"/>
    </row>
    <row r="10" spans="1:21" x14ac:dyDescent="0.25">
      <c r="C10">
        <f>0.481*2</f>
        <v>0.96199999999999997</v>
      </c>
      <c r="F10" s="102" t="s">
        <v>273</v>
      </c>
      <c r="H10" s="86" t="s">
        <v>279</v>
      </c>
      <c r="Q10" s="124"/>
      <c r="R10" s="1">
        <f>(Q7+R7)*(S11/T7)</f>
        <v>1024.7725124999997</v>
      </c>
      <c r="S10" s="3" t="s">
        <v>8</v>
      </c>
      <c r="U10" s="25"/>
    </row>
    <row r="11" spans="1:21" x14ac:dyDescent="0.25">
      <c r="Q11" s="125"/>
      <c r="R11" s="47"/>
      <c r="S11" s="27">
        <f>S7*2.20462</f>
        <v>9.9207899999999984</v>
      </c>
      <c r="T11" s="47"/>
      <c r="U11" s="48"/>
    </row>
    <row r="12" spans="1:21" x14ac:dyDescent="0.25">
      <c r="I12" s="86"/>
    </row>
    <row r="13" spans="1:21" ht="15.75" x14ac:dyDescent="0.25">
      <c r="B13" s="294" t="s">
        <v>290</v>
      </c>
      <c r="C13" s="45"/>
      <c r="D13" s="45"/>
      <c r="E13" s="45"/>
      <c r="F13" s="45"/>
      <c r="G13" s="45"/>
      <c r="H13" s="45"/>
      <c r="I13" s="45"/>
      <c r="J13" s="45"/>
      <c r="K13" s="295"/>
      <c r="L13" s="46"/>
    </row>
    <row r="14" spans="1:21" ht="15.75" x14ac:dyDescent="0.25">
      <c r="B14" s="296" t="s">
        <v>283</v>
      </c>
      <c r="F14" s="15" t="s">
        <v>266</v>
      </c>
      <c r="K14" s="287"/>
      <c r="L14" s="25"/>
    </row>
    <row r="15" spans="1:21" ht="15.75" x14ac:dyDescent="0.25">
      <c r="B15" s="131" t="s">
        <v>31</v>
      </c>
      <c r="C15" s="105" t="s">
        <v>39</v>
      </c>
      <c r="D15" s="105"/>
      <c r="E15" s="105"/>
      <c r="F15" s="105" t="s">
        <v>30</v>
      </c>
      <c r="G15" s="105"/>
      <c r="H15" s="105"/>
      <c r="I15" s="105" t="s">
        <v>34</v>
      </c>
      <c r="J15" s="105"/>
      <c r="K15" s="105" t="s">
        <v>32</v>
      </c>
      <c r="L15" s="25"/>
    </row>
    <row r="16" spans="1:21" x14ac:dyDescent="0.25">
      <c r="B16" s="144" t="s">
        <v>269</v>
      </c>
      <c r="C16" s="142" t="s">
        <v>47</v>
      </c>
      <c r="D16" s="143"/>
      <c r="E16" s="288"/>
      <c r="F16" s="142" t="s">
        <v>274</v>
      </c>
      <c r="G16" s="288"/>
      <c r="H16" s="288"/>
      <c r="I16" s="143" t="s">
        <v>280</v>
      </c>
      <c r="J16" s="143" t="s">
        <v>275</v>
      </c>
      <c r="K16" s="288"/>
      <c r="L16" s="25"/>
    </row>
    <row r="17" spans="2:24" x14ac:dyDescent="0.25">
      <c r="B17" s="123" t="s">
        <v>0</v>
      </c>
      <c r="C17" s="7" t="s">
        <v>60</v>
      </c>
      <c r="D17" s="2" t="s">
        <v>14</v>
      </c>
      <c r="E17" s="2" t="s">
        <v>5</v>
      </c>
      <c r="F17" s="7" t="s">
        <v>61</v>
      </c>
      <c r="G17" s="285" t="s">
        <v>19</v>
      </c>
      <c r="H17" s="286" t="s">
        <v>434</v>
      </c>
      <c r="I17" s="2" t="s">
        <v>12</v>
      </c>
      <c r="K17" s="249"/>
      <c r="L17" s="25"/>
      <c r="N17" s="2" t="s">
        <v>15</v>
      </c>
      <c r="O17" s="7" t="s">
        <v>16</v>
      </c>
      <c r="P17" s="7" t="s">
        <v>21</v>
      </c>
      <c r="Q17" s="7" t="s">
        <v>13</v>
      </c>
      <c r="R17" s="7" t="s">
        <v>18</v>
      </c>
      <c r="S17" s="2" t="s">
        <v>14</v>
      </c>
    </row>
    <row r="18" spans="2:24" x14ac:dyDescent="0.25">
      <c r="B18" s="20" t="s">
        <v>2</v>
      </c>
      <c r="C18" s="3" t="s">
        <v>3</v>
      </c>
      <c r="D18" s="3" t="s">
        <v>4</v>
      </c>
      <c r="E18" s="3" t="s">
        <v>6</v>
      </c>
      <c r="F18" s="3" t="s">
        <v>10</v>
      </c>
      <c r="G18" s="287" t="s">
        <v>3</v>
      </c>
      <c r="H18" s="287" t="s">
        <v>3</v>
      </c>
      <c r="I18" s="3" t="s">
        <v>10</v>
      </c>
      <c r="K18" s="289" t="s">
        <v>438</v>
      </c>
      <c r="L18" s="297" t="s">
        <v>433</v>
      </c>
      <c r="N18" s="3" t="s">
        <v>4</v>
      </c>
      <c r="O18" s="3" t="s">
        <v>17</v>
      </c>
      <c r="P18" s="3" t="s">
        <v>4</v>
      </c>
      <c r="Q18" s="3" t="s">
        <v>4</v>
      </c>
      <c r="R18" s="3" t="s">
        <v>17</v>
      </c>
      <c r="S18" s="3" t="s">
        <v>4</v>
      </c>
    </row>
    <row r="19" spans="2:24" x14ac:dyDescent="0.25">
      <c r="B19" s="22">
        <v>0.48099999999999998</v>
      </c>
      <c r="C19" s="6">
        <v>6</v>
      </c>
      <c r="D19" s="4">
        <f>S19</f>
        <v>163.68</v>
      </c>
      <c r="E19" s="6">
        <v>0</v>
      </c>
      <c r="F19" s="6">
        <v>1.111</v>
      </c>
      <c r="G19" s="6"/>
      <c r="H19" s="11"/>
      <c r="I19" s="14">
        <f>1/F19</f>
        <v>0.90009000900090008</v>
      </c>
      <c r="J19" s="77" t="s">
        <v>271</v>
      </c>
      <c r="K19" s="140">
        <v>180</v>
      </c>
      <c r="L19" s="297">
        <f>K19*F19</f>
        <v>199.98</v>
      </c>
      <c r="N19" s="6">
        <v>241</v>
      </c>
      <c r="O19" s="6">
        <v>0.48</v>
      </c>
      <c r="P19" s="6">
        <v>30</v>
      </c>
      <c r="Q19" s="6">
        <v>200</v>
      </c>
      <c r="R19" s="6">
        <v>0.39</v>
      </c>
      <c r="S19" s="4">
        <f>(N19*O19-P19)+(Q19*R19)</f>
        <v>163.68</v>
      </c>
    </row>
    <row r="20" spans="2:24" x14ac:dyDescent="0.25">
      <c r="B20" s="24"/>
      <c r="F20" s="13"/>
      <c r="L20" s="25"/>
    </row>
    <row r="21" spans="2:24" x14ac:dyDescent="0.25">
      <c r="B21" s="123" t="s">
        <v>0</v>
      </c>
      <c r="C21" s="2"/>
      <c r="D21" s="290" t="s">
        <v>11</v>
      </c>
      <c r="E21" s="291" t="s">
        <v>79</v>
      </c>
      <c r="F21" s="291" t="s">
        <v>67</v>
      </c>
      <c r="G21" s="103"/>
      <c r="H21" s="2"/>
      <c r="I21" s="2"/>
      <c r="J21" s="2"/>
      <c r="L21" s="25"/>
      <c r="N21" s="60" t="s">
        <v>82</v>
      </c>
    </row>
    <row r="22" spans="2:24" x14ac:dyDescent="0.25">
      <c r="B22" s="20" t="s">
        <v>8</v>
      </c>
      <c r="C22" s="3"/>
      <c r="D22" s="109" t="s">
        <v>6</v>
      </c>
      <c r="E22" s="39" t="s">
        <v>3</v>
      </c>
      <c r="F22" s="39" t="s">
        <v>3</v>
      </c>
      <c r="G22" s="3"/>
      <c r="H22" s="3"/>
      <c r="I22" s="3"/>
      <c r="J22" s="3"/>
      <c r="L22" s="25"/>
      <c r="N22" s="50" t="s">
        <v>64</v>
      </c>
      <c r="O22" s="14">
        <v>0.48</v>
      </c>
      <c r="P22" s="14">
        <v>0.52</v>
      </c>
    </row>
    <row r="23" spans="2:24" x14ac:dyDescent="0.25">
      <c r="B23" s="298">
        <f>B19*2.20462</f>
        <v>1.06042222</v>
      </c>
      <c r="C23" s="1"/>
      <c r="D23" s="292">
        <f>F19*B23*(K19/I19+C19)+(E19*F19)</f>
        <v>242.67102922079158</v>
      </c>
      <c r="E23" s="293">
        <f>((D19-E19*F19)/(F19*B23)-C19)*I19</f>
        <v>119.65089477725869</v>
      </c>
      <c r="F23" s="293">
        <f>E23*F19</f>
        <v>132.9321440975344</v>
      </c>
      <c r="G23" s="5"/>
      <c r="H23" s="5"/>
      <c r="I23" s="1"/>
      <c r="J23" s="1"/>
      <c r="L23" s="25"/>
      <c r="N23" s="50" t="s">
        <v>63</v>
      </c>
      <c r="O23" s="14">
        <v>0.48799999999999999</v>
      </c>
      <c r="P23" s="14">
        <v>0.51300000000000001</v>
      </c>
    </row>
    <row r="24" spans="2:24" x14ac:dyDescent="0.25">
      <c r="B24" s="26"/>
      <c r="C24" s="47"/>
      <c r="D24" s="27">
        <f>D23*2</f>
        <v>485.34205844158316</v>
      </c>
      <c r="E24" s="47"/>
      <c r="F24" s="47"/>
      <c r="G24" s="47"/>
      <c r="H24" s="47"/>
      <c r="I24" s="47"/>
      <c r="J24" s="47"/>
      <c r="K24" s="47"/>
      <c r="L24" s="48"/>
      <c r="N24" s="50" t="s">
        <v>65</v>
      </c>
      <c r="O24" s="14">
        <v>0.442</v>
      </c>
      <c r="P24" s="14">
        <v>0.55800000000000005</v>
      </c>
    </row>
    <row r="25" spans="2:24" x14ac:dyDescent="0.25">
      <c r="D25" s="4"/>
      <c r="N25" s="50"/>
      <c r="O25" s="14"/>
      <c r="P25" s="14"/>
    </row>
    <row r="26" spans="2:24" x14ac:dyDescent="0.25">
      <c r="E26" s="12"/>
      <c r="F26" s="6"/>
      <c r="G26" s="6"/>
      <c r="H26" s="11"/>
      <c r="N26" s="50" t="s">
        <v>66</v>
      </c>
      <c r="O26" s="14">
        <v>0.39</v>
      </c>
      <c r="P26" s="14">
        <v>0.61</v>
      </c>
    </row>
    <row r="27" spans="2:24" ht="15.75" x14ac:dyDescent="0.25">
      <c r="B27" s="61" t="s">
        <v>81</v>
      </c>
      <c r="C27" s="126" t="s">
        <v>31</v>
      </c>
      <c r="D27" s="127" t="s">
        <v>284</v>
      </c>
      <c r="E27" s="128"/>
      <c r="F27" s="129"/>
      <c r="G27" s="129"/>
      <c r="H27" s="130"/>
      <c r="I27" s="45"/>
      <c r="J27" s="45"/>
      <c r="K27" s="45"/>
      <c r="L27" s="45"/>
      <c r="M27" s="46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6"/>
    </row>
    <row r="28" spans="2:24" ht="15.75" x14ac:dyDescent="0.25">
      <c r="B28" s="131" t="s">
        <v>30</v>
      </c>
      <c r="C28" s="143" t="s">
        <v>272</v>
      </c>
      <c r="D28" s="105" t="s">
        <v>32</v>
      </c>
      <c r="E28" s="105" t="s">
        <v>34</v>
      </c>
      <c r="F28" s="105" t="s">
        <v>39</v>
      </c>
      <c r="G28" s="105" t="s">
        <v>40</v>
      </c>
      <c r="H28" t="s">
        <v>260</v>
      </c>
      <c r="M28" s="25"/>
      <c r="X28" s="25"/>
    </row>
    <row r="29" spans="2:24" x14ac:dyDescent="0.25">
      <c r="B29" s="144" t="s">
        <v>270</v>
      </c>
      <c r="C29" s="143" t="s">
        <v>265</v>
      </c>
      <c r="D29" s="143" t="s">
        <v>269</v>
      </c>
      <c r="E29" s="142" t="s">
        <v>47</v>
      </c>
      <c r="F29" s="142" t="s">
        <v>262</v>
      </c>
      <c r="G29" s="142" t="s">
        <v>263</v>
      </c>
      <c r="M29" s="25"/>
      <c r="X29" s="25"/>
    </row>
    <row r="30" spans="2:24" x14ac:dyDescent="0.25">
      <c r="B30" s="132" t="s">
        <v>68</v>
      </c>
      <c r="C30" s="133" t="s">
        <v>62</v>
      </c>
      <c r="D30" s="134" t="s">
        <v>69</v>
      </c>
      <c r="E30" s="134" t="s">
        <v>70</v>
      </c>
      <c r="F30" s="134" t="s">
        <v>72</v>
      </c>
      <c r="G30" s="134" t="s">
        <v>73</v>
      </c>
      <c r="M30" s="25"/>
      <c r="N30" t="s">
        <v>54</v>
      </c>
      <c r="X30" s="25"/>
    </row>
    <row r="31" spans="2:24" x14ac:dyDescent="0.25">
      <c r="B31" s="135" t="s">
        <v>71</v>
      </c>
      <c r="C31" s="7" t="s">
        <v>61</v>
      </c>
      <c r="D31" s="7" t="s">
        <v>0</v>
      </c>
      <c r="E31" s="7" t="s">
        <v>76</v>
      </c>
      <c r="F31" s="7" t="s">
        <v>74</v>
      </c>
      <c r="G31" s="7" t="s">
        <v>75</v>
      </c>
      <c r="I31" s="49" t="s">
        <v>77</v>
      </c>
      <c r="J31" s="49" t="s">
        <v>78</v>
      </c>
      <c r="M31" s="25"/>
      <c r="N31" s="15" t="s">
        <v>55</v>
      </c>
      <c r="X31" s="25"/>
    </row>
    <row r="32" spans="2:24" x14ac:dyDescent="0.25">
      <c r="B32" s="20" t="s">
        <v>4</v>
      </c>
      <c r="C32" s="3" t="s">
        <v>10</v>
      </c>
      <c r="D32" s="3" t="s">
        <v>2</v>
      </c>
      <c r="E32" s="3" t="s">
        <v>3</v>
      </c>
      <c r="F32" s="136" t="s">
        <v>6</v>
      </c>
      <c r="G32" s="136" t="s">
        <v>6</v>
      </c>
      <c r="I32" s="9" t="s">
        <v>3</v>
      </c>
      <c r="J32" s="9" t="s">
        <v>3</v>
      </c>
      <c r="L32" s="15"/>
      <c r="M32" s="25"/>
      <c r="N32" s="15"/>
      <c r="X32" s="25"/>
    </row>
    <row r="33" spans="2:24" x14ac:dyDescent="0.25">
      <c r="B33" s="137">
        <f>S19</f>
        <v>163.68</v>
      </c>
      <c r="C33" s="6">
        <v>1.111</v>
      </c>
      <c r="D33" s="6">
        <v>0.47599999999999998</v>
      </c>
      <c r="E33" s="6">
        <v>8</v>
      </c>
      <c r="F33" s="138">
        <f>F35/F36</f>
        <v>0.22563888888888889</v>
      </c>
      <c r="G33" s="138">
        <f>G35/G36</f>
        <v>0.17172222222222222</v>
      </c>
      <c r="I33" s="10">
        <f>((B33/C33)-(D38*E33))/(D38+F33+G33)</f>
        <v>52.294877206121448</v>
      </c>
      <c r="J33" s="10">
        <f>I33/C33</f>
        <v>47.070096495158822</v>
      </c>
      <c r="K33" s="15" t="s">
        <v>83</v>
      </c>
      <c r="M33" s="25"/>
      <c r="N33" s="15" t="s">
        <v>56</v>
      </c>
      <c r="X33" s="25"/>
    </row>
    <row r="34" spans="2:24" ht="15.75" thickBot="1" x14ac:dyDescent="0.3">
      <c r="B34" s="24"/>
      <c r="D34" s="1">
        <f>D33*2</f>
        <v>0.95199999999999996</v>
      </c>
      <c r="F34" s="139">
        <f>F33*2</f>
        <v>0.45127777777777778</v>
      </c>
      <c r="G34" s="139">
        <f>G33*2</f>
        <v>0.34344444444444444</v>
      </c>
      <c r="M34" s="25"/>
      <c r="N34" s="15" t="s">
        <v>57</v>
      </c>
      <c r="X34" s="25"/>
    </row>
    <row r="35" spans="2:24" x14ac:dyDescent="0.25">
      <c r="B35" s="24"/>
      <c r="D35" s="2" t="s">
        <v>0</v>
      </c>
      <c r="F35" s="54">
        <f>81.23/2</f>
        <v>40.615000000000002</v>
      </c>
      <c r="G35" s="55">
        <v>30.91</v>
      </c>
      <c r="H35" s="58">
        <f>SUM(F35:G35)*2</f>
        <v>143.05000000000001</v>
      </c>
      <c r="I35" s="7" t="s">
        <v>77</v>
      </c>
      <c r="J35" s="7" t="s">
        <v>78</v>
      </c>
      <c r="K35" s="52" t="s">
        <v>71</v>
      </c>
      <c r="M35" s="25"/>
      <c r="X35" s="25"/>
    </row>
    <row r="36" spans="2:24" ht="15.75" thickBot="1" x14ac:dyDescent="0.3">
      <c r="B36" s="24"/>
      <c r="D36" s="3" t="s">
        <v>8</v>
      </c>
      <c r="F36" s="56">
        <v>180</v>
      </c>
      <c r="G36" s="57">
        <v>180</v>
      </c>
      <c r="I36" s="3" t="s">
        <v>3</v>
      </c>
      <c r="J36" s="3" t="s">
        <v>3</v>
      </c>
      <c r="K36" s="34" t="s">
        <v>4</v>
      </c>
      <c r="M36" s="25"/>
      <c r="N36" t="s">
        <v>58</v>
      </c>
      <c r="X36" s="25"/>
    </row>
    <row r="37" spans="2:24" ht="15.75" thickBot="1" x14ac:dyDescent="0.3">
      <c r="B37" s="24"/>
      <c r="D37" s="4">
        <f>D33*2.20462</f>
        <v>1.0493991199999999</v>
      </c>
      <c r="I37" s="140">
        <v>180</v>
      </c>
      <c r="J37" s="141">
        <f>I37/C33</f>
        <v>162.01620162016201</v>
      </c>
      <c r="K37" s="53">
        <f>C33*(D38*E33+I37*(D38+F33+G33))</f>
        <v>517.83606579231991</v>
      </c>
      <c r="L37" t="s">
        <v>84</v>
      </c>
      <c r="M37" s="25"/>
      <c r="N37" t="s">
        <v>59</v>
      </c>
      <c r="X37" s="25"/>
    </row>
    <row r="38" spans="2:24" x14ac:dyDescent="0.25">
      <c r="B38" s="24"/>
      <c r="D38" s="139">
        <f>D34*2.20462</f>
        <v>2.0987982399999998</v>
      </c>
      <c r="F38" s="54">
        <v>13.28</v>
      </c>
      <c r="G38" s="55">
        <v>11.83</v>
      </c>
      <c r="M38" s="25"/>
      <c r="X38" s="25"/>
    </row>
    <row r="39" spans="2:24" x14ac:dyDescent="0.25">
      <c r="B39" s="24"/>
      <c r="F39" s="56">
        <v>50</v>
      </c>
      <c r="G39" s="57">
        <v>50</v>
      </c>
      <c r="K39" s="65">
        <f>K37-F35-G35</f>
        <v>446.31106579231988</v>
      </c>
      <c r="M39" s="25"/>
      <c r="X39" s="25"/>
    </row>
    <row r="40" spans="2:24" x14ac:dyDescent="0.25">
      <c r="B40" s="24"/>
      <c r="F40" s="54">
        <v>10.220000000000001</v>
      </c>
      <c r="G40" s="55">
        <v>10.36</v>
      </c>
      <c r="M40" s="25"/>
      <c r="X40" s="25"/>
    </row>
    <row r="41" spans="2:24" x14ac:dyDescent="0.25">
      <c r="B41" s="24"/>
      <c r="F41" s="56">
        <v>40</v>
      </c>
      <c r="G41" s="57">
        <v>40</v>
      </c>
      <c r="M41" s="25"/>
      <c r="X41" s="25"/>
    </row>
    <row r="42" spans="2:24" x14ac:dyDescent="0.25">
      <c r="B42" s="24"/>
      <c r="F42" s="54">
        <v>16.34</v>
      </c>
      <c r="G42" s="55">
        <v>13.3</v>
      </c>
      <c r="M42" s="25"/>
      <c r="X42" s="25"/>
    </row>
    <row r="43" spans="2:24" x14ac:dyDescent="0.25">
      <c r="B43" s="24"/>
      <c r="F43" s="56">
        <v>60</v>
      </c>
      <c r="G43" s="57">
        <v>60</v>
      </c>
      <c r="M43" s="25"/>
      <c r="X43" s="25"/>
    </row>
    <row r="44" spans="2:24" x14ac:dyDescent="0.25">
      <c r="B44" s="24"/>
      <c r="C44" s="54">
        <v>65.08</v>
      </c>
      <c r="D44" s="55">
        <v>27.97</v>
      </c>
      <c r="F44" s="54">
        <v>81.23</v>
      </c>
      <c r="G44" s="55">
        <v>30.91</v>
      </c>
      <c r="M44" s="25"/>
      <c r="X44" s="25"/>
    </row>
    <row r="45" spans="2:24" x14ac:dyDescent="0.25">
      <c r="B45" s="24"/>
      <c r="C45" s="56">
        <v>180</v>
      </c>
      <c r="D45" s="57">
        <v>180</v>
      </c>
      <c r="F45" s="56">
        <v>180</v>
      </c>
      <c r="G45" s="57">
        <v>180</v>
      </c>
      <c r="M45" s="25"/>
      <c r="X45" s="25"/>
    </row>
    <row r="46" spans="2:24" x14ac:dyDescent="0.25">
      <c r="B46" s="26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8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8"/>
    </row>
    <row r="48" spans="2:24" ht="15.75" thickBot="1" x14ac:dyDescent="0.3"/>
    <row r="49" spans="1:13" ht="15.75" x14ac:dyDescent="0.25">
      <c r="H49" s="104" t="s">
        <v>81</v>
      </c>
      <c r="L49" t="s">
        <v>267</v>
      </c>
    </row>
    <row r="50" spans="1:13" x14ac:dyDescent="0.25">
      <c r="I50">
        <f>((B33/C33)-(D38*E33))/(D38+F33+G33)</f>
        <v>52.294877206121448</v>
      </c>
      <c r="L50" s="15" t="s">
        <v>261</v>
      </c>
    </row>
    <row r="51" spans="1:13" x14ac:dyDescent="0.25">
      <c r="A51" t="s">
        <v>52</v>
      </c>
      <c r="B51" s="43" t="s">
        <v>53</v>
      </c>
      <c r="M51" s="106" t="s">
        <v>264</v>
      </c>
    </row>
    <row r="52" spans="1:13" x14ac:dyDescent="0.25">
      <c r="I52">
        <f>((163.7/1.11)-(2.098*8))/(2.098+0.2656+0.2366)</f>
        <v>50.262855733204162</v>
      </c>
      <c r="L52" s="102" t="s">
        <v>268</v>
      </c>
    </row>
    <row r="55" spans="1:13" ht="15.75" x14ac:dyDescent="0.25">
      <c r="G55" s="119" t="s">
        <v>282</v>
      </c>
      <c r="H55" s="61" t="s">
        <v>80</v>
      </c>
    </row>
    <row r="60" spans="1:13" x14ac:dyDescent="0.25">
      <c r="H60" s="1" t="s">
        <v>435</v>
      </c>
      <c r="I60" s="1" t="s">
        <v>436</v>
      </c>
      <c r="J60" s="1" t="s">
        <v>12</v>
      </c>
      <c r="K60" s="1" t="s">
        <v>437</v>
      </c>
      <c r="L60" s="1" t="s">
        <v>69</v>
      </c>
      <c r="M60" s="1" t="s">
        <v>70</v>
      </c>
    </row>
    <row r="61" spans="1:13" x14ac:dyDescent="0.25">
      <c r="H61" s="1">
        <v>20</v>
      </c>
      <c r="I61" s="1">
        <v>1.1100000000000001</v>
      </c>
      <c r="J61" s="1">
        <v>0.9</v>
      </c>
      <c r="K61" s="1">
        <f>H61*I61</f>
        <v>22.200000000000003</v>
      </c>
      <c r="L61" s="1">
        <v>0.96199999999999997</v>
      </c>
      <c r="M61" s="1">
        <v>6</v>
      </c>
    </row>
    <row r="62" spans="1:13" x14ac:dyDescent="0.25">
      <c r="H62" s="1">
        <v>40</v>
      </c>
      <c r="I62" s="1">
        <v>1.1100000000000001</v>
      </c>
      <c r="J62" s="1">
        <v>0.9</v>
      </c>
      <c r="K62" s="1">
        <f t="shared" ref="K62:K65" si="0">H62*I62</f>
        <v>44.400000000000006</v>
      </c>
      <c r="L62" s="1"/>
      <c r="M62" s="1"/>
    </row>
    <row r="63" spans="1:13" x14ac:dyDescent="0.25">
      <c r="H63" s="1">
        <v>60</v>
      </c>
      <c r="I63" s="1">
        <v>1.1100000000000001</v>
      </c>
      <c r="J63" s="1">
        <v>0.9</v>
      </c>
      <c r="K63" s="1">
        <f t="shared" si="0"/>
        <v>66.600000000000009</v>
      </c>
      <c r="L63" s="1"/>
      <c r="M63" s="1"/>
    </row>
    <row r="64" spans="1:13" x14ac:dyDescent="0.25">
      <c r="H64" s="1">
        <v>80</v>
      </c>
      <c r="I64" s="1">
        <v>1.1100000000000001</v>
      </c>
      <c r="J64" s="1">
        <v>0.9</v>
      </c>
      <c r="K64" s="1">
        <f t="shared" si="0"/>
        <v>88.800000000000011</v>
      </c>
      <c r="L64" s="1"/>
      <c r="M64" s="1"/>
    </row>
    <row r="65" spans="8:21" x14ac:dyDescent="0.25">
      <c r="H65" s="1">
        <v>100</v>
      </c>
      <c r="I65" s="1">
        <v>1.1100000000000001</v>
      </c>
      <c r="J65" s="1">
        <v>0.9</v>
      </c>
      <c r="K65" s="1">
        <f t="shared" si="0"/>
        <v>111.00000000000001</v>
      </c>
      <c r="L65" s="1"/>
      <c r="M65" s="1"/>
    </row>
    <row r="66" spans="8:21" x14ac:dyDescent="0.25">
      <c r="S66">
        <v>5.0999999999999996</v>
      </c>
      <c r="T66">
        <v>4.2</v>
      </c>
      <c r="U66" s="60">
        <f>SUM(S66:T66)</f>
        <v>9.3000000000000007</v>
      </c>
    </row>
    <row r="67" spans="8:21" x14ac:dyDescent="0.25">
      <c r="S67">
        <v>11</v>
      </c>
      <c r="T67">
        <v>7.3</v>
      </c>
      <c r="U67" s="60">
        <f t="shared" ref="U67:U80" si="1">SUM(S67:T67)</f>
        <v>18.3</v>
      </c>
    </row>
    <row r="68" spans="8:21" x14ac:dyDescent="0.25">
      <c r="S68">
        <v>17.600000000000001</v>
      </c>
      <c r="T68">
        <v>10.4</v>
      </c>
      <c r="U68" s="60">
        <f t="shared" si="1"/>
        <v>28</v>
      </c>
    </row>
    <row r="69" spans="8:21" x14ac:dyDescent="0.25">
      <c r="S69">
        <v>25.3</v>
      </c>
      <c r="T69">
        <v>13.5</v>
      </c>
      <c r="U69" s="60">
        <f t="shared" si="1"/>
        <v>38.799999999999997</v>
      </c>
    </row>
    <row r="70" spans="8:21" x14ac:dyDescent="0.25">
      <c r="J70">
        <f>1/1.11</f>
        <v>0.9009009009009008</v>
      </c>
      <c r="S70">
        <v>34.299999999999997</v>
      </c>
      <c r="T70">
        <v>16.5</v>
      </c>
      <c r="U70" s="60">
        <f t="shared" si="1"/>
        <v>50.8</v>
      </c>
    </row>
    <row r="71" spans="8:21" x14ac:dyDescent="0.25">
      <c r="S71">
        <v>44.9</v>
      </c>
      <c r="T71">
        <v>19.600000000000001</v>
      </c>
      <c r="U71" s="60">
        <f t="shared" si="1"/>
        <v>64.5</v>
      </c>
    </row>
    <row r="72" spans="8:21" x14ac:dyDescent="0.25">
      <c r="S72">
        <v>57.5</v>
      </c>
      <c r="T72">
        <v>22.7</v>
      </c>
      <c r="U72" s="60">
        <f t="shared" si="1"/>
        <v>80.2</v>
      </c>
    </row>
    <row r="73" spans="8:21" x14ac:dyDescent="0.25">
      <c r="S73">
        <v>73</v>
      </c>
      <c r="T73">
        <v>25.7</v>
      </c>
      <c r="U73" s="60">
        <f t="shared" si="1"/>
        <v>98.7</v>
      </c>
    </row>
    <row r="74" spans="8:21" x14ac:dyDescent="0.25">
      <c r="S74">
        <v>92.4</v>
      </c>
      <c r="T74">
        <v>28.8</v>
      </c>
      <c r="U74" s="60">
        <f t="shared" si="1"/>
        <v>121.2</v>
      </c>
    </row>
    <row r="75" spans="8:21" x14ac:dyDescent="0.25">
      <c r="S75">
        <v>177.3</v>
      </c>
      <c r="T75">
        <v>31.9</v>
      </c>
      <c r="U75" s="60">
        <f t="shared" si="1"/>
        <v>209.20000000000002</v>
      </c>
    </row>
    <row r="76" spans="8:21" x14ac:dyDescent="0.25">
      <c r="S76">
        <v>150.4</v>
      </c>
      <c r="T76">
        <v>35</v>
      </c>
      <c r="U76" s="60">
        <f t="shared" si="1"/>
        <v>185.4</v>
      </c>
    </row>
    <row r="77" spans="8:21" x14ac:dyDescent="0.25">
      <c r="S77">
        <v>196.7</v>
      </c>
      <c r="T77">
        <v>38</v>
      </c>
      <c r="U77" s="60">
        <f t="shared" si="1"/>
        <v>234.7</v>
      </c>
    </row>
    <row r="78" spans="8:21" x14ac:dyDescent="0.25">
      <c r="S78">
        <v>265.89999999999998</v>
      </c>
      <c r="T78">
        <v>41.1</v>
      </c>
      <c r="U78" s="60">
        <f t="shared" si="1"/>
        <v>307</v>
      </c>
    </row>
    <row r="79" spans="8:21" x14ac:dyDescent="0.25">
      <c r="S79">
        <v>380.8</v>
      </c>
      <c r="T79">
        <v>44.2</v>
      </c>
      <c r="U79" s="60">
        <f t="shared" si="1"/>
        <v>425</v>
      </c>
    </row>
    <row r="80" spans="8:21" x14ac:dyDescent="0.25">
      <c r="S80">
        <v>608.9</v>
      </c>
      <c r="T80">
        <v>47.2</v>
      </c>
      <c r="U80" s="60">
        <f t="shared" si="1"/>
        <v>656.1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7207D-C11A-49C2-95DB-7FFAACC88A02}">
  <sheetPr transitionEvaluation="1" transitionEntry="1" codeName="Sheet7">
    <tabColor rgb="FFFFFFCC"/>
  </sheetPr>
  <dimension ref="A1:AF84"/>
  <sheetViews>
    <sheetView showGridLines="0" tabSelected="1" zoomScale="90" zoomScaleNormal="90" workbookViewId="0"/>
  </sheetViews>
  <sheetFormatPr defaultRowHeight="15" x14ac:dyDescent="0.25"/>
  <cols>
    <col min="1" max="1" width="5.42578125" customWidth="1"/>
    <col min="2" max="2" width="16.5703125" customWidth="1"/>
    <col min="3" max="3" width="13.85546875" customWidth="1"/>
    <col min="4" max="4" width="13.5703125" customWidth="1"/>
    <col min="5" max="5" width="10.7109375" customWidth="1"/>
    <col min="6" max="6" width="11.7109375" customWidth="1"/>
    <col min="7" max="7" width="10.85546875" customWidth="1"/>
    <col min="8" max="8" width="10.28515625" customWidth="1"/>
    <col min="9" max="9" width="12.7109375" customWidth="1"/>
    <col min="10" max="10" width="11.28515625" customWidth="1"/>
    <col min="11" max="22" width="10.5703125" customWidth="1"/>
  </cols>
  <sheetData>
    <row r="1" spans="1:22" ht="15.75" x14ac:dyDescent="0.25">
      <c r="B1" t="s">
        <v>294</v>
      </c>
      <c r="C1" s="107" t="s">
        <v>291</v>
      </c>
      <c r="R1" s="122" t="s">
        <v>276</v>
      </c>
      <c r="S1" s="45"/>
      <c r="T1" s="45"/>
      <c r="U1" s="45"/>
      <c r="V1" s="46"/>
    </row>
    <row r="2" spans="1:22" x14ac:dyDescent="0.25">
      <c r="A2" s="60" t="s">
        <v>375</v>
      </c>
      <c r="C2" s="15" t="s">
        <v>292</v>
      </c>
      <c r="M2" s="62"/>
      <c r="R2" s="24" t="s">
        <v>289</v>
      </c>
      <c r="V2" s="25"/>
    </row>
    <row r="3" spans="1:22" x14ac:dyDescent="0.25">
      <c r="C3" s="15"/>
      <c r="M3" s="62"/>
      <c r="R3" s="123" t="s">
        <v>70</v>
      </c>
      <c r="S3" s="2" t="s">
        <v>278</v>
      </c>
      <c r="T3" s="2" t="s">
        <v>277</v>
      </c>
      <c r="U3" s="7" t="s">
        <v>61</v>
      </c>
      <c r="V3" s="25"/>
    </row>
    <row r="4" spans="1:22" x14ac:dyDescent="0.25">
      <c r="B4" s="15" t="s">
        <v>293</v>
      </c>
      <c r="R4" s="20" t="s">
        <v>3</v>
      </c>
      <c r="S4" s="3" t="s">
        <v>3</v>
      </c>
      <c r="T4" s="3" t="s">
        <v>2</v>
      </c>
      <c r="U4" s="3" t="s">
        <v>10</v>
      </c>
      <c r="V4" s="25"/>
    </row>
    <row r="5" spans="1:22" x14ac:dyDescent="0.25">
      <c r="C5" s="65">
        <f>F16*C20*(I16/G16+D16)+(E16*F16)</f>
        <v>484.96045238822717</v>
      </c>
      <c r="E5" s="15" t="s">
        <v>449</v>
      </c>
      <c r="R5" s="22">
        <v>8</v>
      </c>
      <c r="S5" s="6">
        <v>37.450000000000003</v>
      </c>
      <c r="T5" s="6">
        <v>4.5</v>
      </c>
      <c r="U5" s="35">
        <v>0.44</v>
      </c>
      <c r="V5" s="25"/>
    </row>
    <row r="6" spans="1:22" x14ac:dyDescent="0.25">
      <c r="E6" s="145" t="s">
        <v>448</v>
      </c>
      <c r="F6" s="145"/>
      <c r="G6" s="145"/>
      <c r="H6" s="117"/>
      <c r="I6" s="117"/>
      <c r="J6" s="145"/>
      <c r="K6" s="118"/>
      <c r="L6" s="146"/>
      <c r="M6" s="146"/>
      <c r="R6" s="124"/>
      <c r="V6" s="25"/>
    </row>
    <row r="7" spans="1:22" x14ac:dyDescent="0.25">
      <c r="E7" s="317" t="s">
        <v>450</v>
      </c>
      <c r="F7" s="145"/>
      <c r="G7" s="145"/>
      <c r="H7" s="117"/>
      <c r="I7" s="117"/>
      <c r="J7" s="145"/>
      <c r="K7" s="118"/>
      <c r="L7" s="146"/>
      <c r="M7" s="146"/>
      <c r="R7" s="124"/>
      <c r="T7" s="102" t="s">
        <v>269</v>
      </c>
      <c r="V7" s="25"/>
    </row>
    <row r="8" spans="1:22" x14ac:dyDescent="0.25">
      <c r="E8" s="102"/>
      <c r="G8" s="102"/>
      <c r="J8" s="102"/>
      <c r="K8" s="15"/>
      <c r="L8" s="15"/>
      <c r="R8" s="124"/>
      <c r="S8" s="1">
        <f>(R5+S5)*(T9/U5)</f>
        <v>1024.7725124999997</v>
      </c>
      <c r="T8" s="3" t="s">
        <v>8</v>
      </c>
      <c r="V8" s="25"/>
    </row>
    <row r="9" spans="1:22" x14ac:dyDescent="0.25">
      <c r="F9" s="102"/>
      <c r="H9" s="86"/>
      <c r="R9" s="125"/>
      <c r="S9" s="47"/>
      <c r="T9" s="27">
        <f>T5*2.20462</f>
        <v>9.9207899999999984</v>
      </c>
      <c r="U9" s="47"/>
      <c r="V9" s="48"/>
    </row>
    <row r="10" spans="1:22" ht="15.75" x14ac:dyDescent="0.25">
      <c r="B10" s="294" t="s">
        <v>290</v>
      </c>
      <c r="C10" s="45"/>
      <c r="D10" s="45"/>
      <c r="E10" s="45"/>
      <c r="F10" s="45"/>
      <c r="G10" s="45"/>
      <c r="H10" s="45"/>
      <c r="I10" s="45"/>
      <c r="J10" s="46"/>
      <c r="K10" s="286"/>
    </row>
    <row r="11" spans="1:22" ht="15.75" x14ac:dyDescent="0.25">
      <c r="B11" s="296" t="s">
        <v>283</v>
      </c>
      <c r="F11" s="15"/>
      <c r="J11" s="25"/>
      <c r="K11" s="287"/>
    </row>
    <row r="12" spans="1:22" ht="15.75" x14ac:dyDescent="0.25">
      <c r="B12" s="24"/>
      <c r="C12" s="36" t="s">
        <v>31</v>
      </c>
      <c r="D12" s="105" t="s">
        <v>39</v>
      </c>
      <c r="E12" s="105"/>
      <c r="F12" s="105" t="s">
        <v>30</v>
      </c>
      <c r="G12" s="105" t="s">
        <v>34</v>
      </c>
      <c r="H12" s="105"/>
      <c r="I12" s="105" t="s">
        <v>32</v>
      </c>
      <c r="J12" s="25"/>
      <c r="L12" s="1" t="s">
        <v>457</v>
      </c>
    </row>
    <row r="13" spans="1:22" x14ac:dyDescent="0.25">
      <c r="B13" s="24"/>
      <c r="C13" s="143" t="s">
        <v>269</v>
      </c>
      <c r="D13" s="300" t="s">
        <v>47</v>
      </c>
      <c r="E13" s="288"/>
      <c r="F13" s="142" t="s">
        <v>274</v>
      </c>
      <c r="G13" s="143" t="s">
        <v>442</v>
      </c>
      <c r="I13" s="301" t="s">
        <v>447</v>
      </c>
      <c r="J13" s="25"/>
      <c r="K13" s="2"/>
      <c r="L13" s="1" t="s">
        <v>458</v>
      </c>
      <c r="M13" s="2" t="s">
        <v>451</v>
      </c>
      <c r="N13" s="2" t="s">
        <v>451</v>
      </c>
      <c r="O13" s="2" t="s">
        <v>355</v>
      </c>
      <c r="P13" s="2" t="s">
        <v>355</v>
      </c>
    </row>
    <row r="14" spans="1:22" x14ac:dyDescent="0.25">
      <c r="B14" s="24"/>
      <c r="C14" s="2" t="s">
        <v>0</v>
      </c>
      <c r="D14" s="7" t="s">
        <v>60</v>
      </c>
      <c r="E14" s="2"/>
      <c r="F14" s="7" t="s">
        <v>61</v>
      </c>
      <c r="G14" s="2" t="s">
        <v>12</v>
      </c>
      <c r="I14" s="290" t="s">
        <v>19</v>
      </c>
      <c r="J14" s="315" t="s">
        <v>434</v>
      </c>
      <c r="K14" s="329" t="s">
        <v>445</v>
      </c>
      <c r="L14" s="330" t="s">
        <v>446</v>
      </c>
      <c r="M14" s="330" t="s">
        <v>9</v>
      </c>
      <c r="N14" s="330" t="s">
        <v>11</v>
      </c>
      <c r="O14" s="330" t="s">
        <v>11</v>
      </c>
      <c r="P14" s="331" t="s">
        <v>444</v>
      </c>
    </row>
    <row r="15" spans="1:22" x14ac:dyDescent="0.25">
      <c r="B15" s="303"/>
      <c r="C15" s="304" t="s">
        <v>2</v>
      </c>
      <c r="D15" s="3" t="s">
        <v>3</v>
      </c>
      <c r="E15" s="3"/>
      <c r="F15" s="3" t="s">
        <v>10</v>
      </c>
      <c r="G15" s="3" t="s">
        <v>10</v>
      </c>
      <c r="I15" s="109" t="s">
        <v>3</v>
      </c>
      <c r="J15" s="302" t="s">
        <v>3</v>
      </c>
      <c r="K15" s="6">
        <v>180</v>
      </c>
      <c r="L15" s="1">
        <f>K15*M15</f>
        <v>180</v>
      </c>
      <c r="M15" s="6">
        <v>1</v>
      </c>
      <c r="N15" s="6">
        <v>394.48</v>
      </c>
      <c r="O15" s="6">
        <v>394.61</v>
      </c>
      <c r="P15" s="6" t="s">
        <v>452</v>
      </c>
    </row>
    <row r="16" spans="1:22" x14ac:dyDescent="0.25">
      <c r="B16" s="305" t="s">
        <v>443</v>
      </c>
      <c r="C16" s="306">
        <v>0.95199999999999996</v>
      </c>
      <c r="D16" s="6">
        <v>8</v>
      </c>
      <c r="E16" s="6"/>
      <c r="F16" s="6">
        <v>1.111</v>
      </c>
      <c r="G16" s="14">
        <f>1/F16</f>
        <v>0.90009000900090008</v>
      </c>
      <c r="H16" s="77"/>
      <c r="I16" s="6">
        <v>180</v>
      </c>
      <c r="J16" s="335">
        <f>I16*F16</f>
        <v>199.98</v>
      </c>
      <c r="K16" s="332">
        <v>180</v>
      </c>
      <c r="L16" s="333">
        <f>K16*M16</f>
        <v>199.98</v>
      </c>
      <c r="M16" s="334">
        <v>1.111</v>
      </c>
      <c r="N16" s="336">
        <v>485.34</v>
      </c>
      <c r="O16" s="334">
        <v>437.04</v>
      </c>
      <c r="P16" s="334">
        <v>485.51</v>
      </c>
    </row>
    <row r="17" spans="2:32" x14ac:dyDescent="0.25">
      <c r="B17" s="24"/>
      <c r="F17" s="13"/>
      <c r="J17" s="25"/>
      <c r="K17" s="6">
        <v>240</v>
      </c>
      <c r="L17" s="327">
        <f t="shared" ref="L17:L20" si="0">K17*M17</f>
        <v>240</v>
      </c>
      <c r="M17" s="6">
        <v>1</v>
      </c>
      <c r="N17" s="6">
        <v>521.73</v>
      </c>
      <c r="O17" s="6">
        <v>521.91</v>
      </c>
      <c r="P17" s="6" t="s">
        <v>452</v>
      </c>
    </row>
    <row r="18" spans="2:32" x14ac:dyDescent="0.25">
      <c r="B18" s="24"/>
      <c r="C18" s="2" t="s">
        <v>0</v>
      </c>
      <c r="D18" s="2"/>
      <c r="E18" s="284" t="s">
        <v>11</v>
      </c>
      <c r="G18" s="312" t="s">
        <v>444</v>
      </c>
      <c r="I18" s="309" t="s">
        <v>440</v>
      </c>
      <c r="J18" s="316"/>
      <c r="K18" s="332">
        <v>240</v>
      </c>
      <c r="L18" s="333">
        <f t="shared" si="0"/>
        <v>266.64</v>
      </c>
      <c r="M18" s="334">
        <v>1.111</v>
      </c>
      <c r="N18" s="336">
        <v>642.41</v>
      </c>
      <c r="O18" s="334">
        <v>578.34</v>
      </c>
      <c r="P18" s="334">
        <v>642.54</v>
      </c>
    </row>
    <row r="19" spans="2:32" x14ac:dyDescent="0.25">
      <c r="B19" s="24"/>
      <c r="C19" s="3" t="s">
        <v>8</v>
      </c>
      <c r="D19" s="3"/>
      <c r="E19" s="307" t="s">
        <v>6</v>
      </c>
      <c r="G19" s="313" t="s">
        <v>6</v>
      </c>
      <c r="I19" s="310" t="s">
        <v>6</v>
      </c>
      <c r="J19" s="21"/>
      <c r="K19" s="6">
        <v>269</v>
      </c>
      <c r="L19" s="327">
        <f t="shared" si="0"/>
        <v>269</v>
      </c>
      <c r="M19" s="6">
        <v>1</v>
      </c>
      <c r="N19" s="6">
        <v>583.23</v>
      </c>
      <c r="O19" s="6">
        <v>583.42999999999995</v>
      </c>
      <c r="P19" s="6" t="s">
        <v>452</v>
      </c>
    </row>
    <row r="20" spans="2:32" x14ac:dyDescent="0.25">
      <c r="B20" s="24"/>
      <c r="C20" s="14">
        <f>C16*2.20462</f>
        <v>2.0987982399999998</v>
      </c>
      <c r="D20" s="1"/>
      <c r="E20" s="308">
        <f>F16*C20*(I16/G16+D16)+(E16*F16)</f>
        <v>484.96045238822717</v>
      </c>
      <c r="G20" s="314">
        <f>E20*F16</f>
        <v>538.79106260332037</v>
      </c>
      <c r="I20" s="311">
        <f>E20*2</f>
        <v>969.92090477645434</v>
      </c>
      <c r="J20" s="297"/>
      <c r="K20" s="332">
        <v>269</v>
      </c>
      <c r="L20" s="333">
        <f t="shared" si="0"/>
        <v>298.85899999999998</v>
      </c>
      <c r="M20" s="334">
        <v>1.111</v>
      </c>
      <c r="N20" s="334">
        <v>718.33</v>
      </c>
      <c r="O20" s="334">
        <v>646.11</v>
      </c>
      <c r="P20" s="334">
        <v>717.82</v>
      </c>
    </row>
    <row r="21" spans="2:32" x14ac:dyDescent="0.25">
      <c r="B21" s="26"/>
      <c r="C21" s="47"/>
      <c r="D21" s="47"/>
      <c r="E21" s="47"/>
      <c r="F21" s="47"/>
      <c r="G21" s="47"/>
      <c r="H21" s="47"/>
      <c r="I21" s="47"/>
      <c r="J21" s="48"/>
      <c r="K21" s="1"/>
      <c r="L21" s="1"/>
      <c r="M21" s="1"/>
      <c r="N21" s="1"/>
      <c r="O21" s="14"/>
      <c r="P21" s="14"/>
    </row>
    <row r="22" spans="2:32" x14ac:dyDescent="0.25">
      <c r="D22" s="4"/>
      <c r="N22" s="50">
        <f>658/642</f>
        <v>1.0249221183800623</v>
      </c>
      <c r="O22" s="14"/>
      <c r="P22" s="14"/>
    </row>
    <row r="23" spans="2:32" x14ac:dyDescent="0.25">
      <c r="P23" s="14"/>
    </row>
    <row r="24" spans="2:32" x14ac:dyDescent="0.25">
      <c r="D24" s="4"/>
      <c r="N24" s="50"/>
      <c r="O24" s="14"/>
      <c r="P24" s="14"/>
    </row>
    <row r="25" spans="2:32" x14ac:dyDescent="0.25">
      <c r="D25" s="4"/>
      <c r="N25" s="50"/>
      <c r="O25" s="14"/>
      <c r="P25" s="14"/>
    </row>
    <row r="26" spans="2:32" x14ac:dyDescent="0.25">
      <c r="E26" s="12"/>
      <c r="F26" s="6"/>
      <c r="G26" s="6"/>
      <c r="H26" s="11"/>
    </row>
    <row r="27" spans="2:32" ht="15.75" x14ac:dyDescent="0.25">
      <c r="B27" s="61" t="s">
        <v>81</v>
      </c>
      <c r="C27" s="45"/>
      <c r="D27" s="127" t="s">
        <v>441</v>
      </c>
      <c r="E27" s="128"/>
      <c r="F27" s="129"/>
      <c r="G27" s="129"/>
      <c r="H27" s="130"/>
      <c r="I27" s="45"/>
      <c r="J27" s="45"/>
      <c r="K27" s="45"/>
      <c r="L27" s="45"/>
      <c r="M27" s="46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6"/>
    </row>
    <row r="28" spans="2:32" x14ac:dyDescent="0.25">
      <c r="B28" s="24"/>
      <c r="C28" s="105" t="s">
        <v>31</v>
      </c>
      <c r="G28" s="6"/>
      <c r="H28" s="11"/>
      <c r="M28" s="25"/>
      <c r="AF28" s="25"/>
    </row>
    <row r="29" spans="2:32" ht="15.75" x14ac:dyDescent="0.25">
      <c r="B29" s="131" t="s">
        <v>30</v>
      </c>
      <c r="C29" s="143" t="s">
        <v>272</v>
      </c>
      <c r="D29" s="105" t="s">
        <v>32</v>
      </c>
      <c r="E29" s="105" t="s">
        <v>34</v>
      </c>
      <c r="F29" s="105" t="s">
        <v>39</v>
      </c>
      <c r="G29" s="105" t="s">
        <v>40</v>
      </c>
      <c r="H29" t="s">
        <v>260</v>
      </c>
      <c r="M29" s="25"/>
      <c r="AF29" s="25"/>
    </row>
    <row r="30" spans="2:32" x14ac:dyDescent="0.25">
      <c r="B30" s="144" t="s">
        <v>270</v>
      </c>
      <c r="C30" s="143" t="s">
        <v>265</v>
      </c>
      <c r="D30" s="143" t="s">
        <v>269</v>
      </c>
      <c r="E30" s="300" t="s">
        <v>47</v>
      </c>
      <c r="F30" s="142" t="s">
        <v>262</v>
      </c>
      <c r="G30" s="142" t="s">
        <v>263</v>
      </c>
      <c r="M30" s="25"/>
      <c r="AF30" s="25"/>
    </row>
    <row r="31" spans="2:32" x14ac:dyDescent="0.25">
      <c r="B31" s="132" t="s">
        <v>68</v>
      </c>
      <c r="C31" s="133" t="s">
        <v>62</v>
      </c>
      <c r="D31" s="134" t="s">
        <v>69</v>
      </c>
      <c r="E31" s="134" t="s">
        <v>70</v>
      </c>
      <c r="F31" s="134" t="s">
        <v>72</v>
      </c>
      <c r="G31" s="134" t="s">
        <v>73</v>
      </c>
      <c r="I31" s="266" t="s">
        <v>464</v>
      </c>
      <c r="J31" s="266" t="s">
        <v>463</v>
      </c>
      <c r="M31" s="25"/>
      <c r="V31" t="s">
        <v>54</v>
      </c>
      <c r="AF31" s="25"/>
    </row>
    <row r="32" spans="2:32" x14ac:dyDescent="0.25">
      <c r="B32" s="135" t="s">
        <v>71</v>
      </c>
      <c r="C32" s="7" t="s">
        <v>61</v>
      </c>
      <c r="D32" s="7" t="s">
        <v>0</v>
      </c>
      <c r="E32" s="7" t="s">
        <v>76</v>
      </c>
      <c r="F32" s="7" t="s">
        <v>74</v>
      </c>
      <c r="G32" s="7" t="s">
        <v>75</v>
      </c>
      <c r="I32" s="49" t="s">
        <v>77</v>
      </c>
      <c r="J32" s="49" t="s">
        <v>78</v>
      </c>
      <c r="M32" s="25"/>
      <c r="O32" s="2" t="s">
        <v>15</v>
      </c>
      <c r="P32" s="7" t="s">
        <v>16</v>
      </c>
      <c r="Q32" s="7" t="s">
        <v>21</v>
      </c>
      <c r="R32" s="7" t="s">
        <v>13</v>
      </c>
      <c r="S32" s="7" t="s">
        <v>18</v>
      </c>
      <c r="T32" s="2" t="s">
        <v>14</v>
      </c>
      <c r="V32" s="15" t="s">
        <v>55</v>
      </c>
      <c r="AF32" s="25"/>
    </row>
    <row r="33" spans="2:32" x14ac:dyDescent="0.25">
      <c r="B33" s="20" t="s">
        <v>4</v>
      </c>
      <c r="C33" s="3" t="s">
        <v>10</v>
      </c>
      <c r="D33" s="3" t="s">
        <v>2</v>
      </c>
      <c r="E33" s="3" t="s">
        <v>3</v>
      </c>
      <c r="F33" s="136" t="s">
        <v>6</v>
      </c>
      <c r="G33" s="136" t="s">
        <v>6</v>
      </c>
      <c r="I33" s="9" t="s">
        <v>3</v>
      </c>
      <c r="J33" s="9" t="s">
        <v>3</v>
      </c>
      <c r="L33" s="15"/>
      <c r="M33" s="25"/>
      <c r="O33" s="3" t="s">
        <v>4</v>
      </c>
      <c r="P33" s="3" t="s">
        <v>17</v>
      </c>
      <c r="Q33" s="3" t="s">
        <v>4</v>
      </c>
      <c r="R33" s="3" t="s">
        <v>4</v>
      </c>
      <c r="S33" s="3" t="s">
        <v>17</v>
      </c>
      <c r="T33" s="3" t="s">
        <v>4</v>
      </c>
      <c r="V33" s="15"/>
      <c r="AF33" s="25"/>
    </row>
    <row r="34" spans="2:32" x14ac:dyDescent="0.25">
      <c r="B34" s="137">
        <f>T34</f>
        <v>163.68</v>
      </c>
      <c r="C34" s="6">
        <v>1.111</v>
      </c>
      <c r="D34" s="6">
        <v>0.47199999999999998</v>
      </c>
      <c r="E34" s="6">
        <v>8</v>
      </c>
      <c r="F34" s="138">
        <f>F36/F37</f>
        <v>0.38824999999999998</v>
      </c>
      <c r="G34" s="138">
        <f>G36/G37</f>
        <v>0.19125</v>
      </c>
      <c r="I34" s="10">
        <f>((B34/C34)-(D40*E34))/(D40+F34+G34)</f>
        <v>49.114648082249438</v>
      </c>
      <c r="J34" s="10">
        <f>I34/C34</f>
        <v>44.207604034427938</v>
      </c>
      <c r="K34" s="15" t="s">
        <v>83</v>
      </c>
      <c r="M34" s="25"/>
      <c r="O34" s="6">
        <v>241</v>
      </c>
      <c r="P34" s="6">
        <v>0.48</v>
      </c>
      <c r="Q34" s="6">
        <v>30</v>
      </c>
      <c r="R34" s="6">
        <v>200</v>
      </c>
      <c r="S34" s="6">
        <v>0.39</v>
      </c>
      <c r="T34" s="4">
        <f>(O34*P34-Q34)+(R34*S34)</f>
        <v>163.68</v>
      </c>
      <c r="V34" s="15" t="s">
        <v>56</v>
      </c>
      <c r="AF34" s="25"/>
    </row>
    <row r="35" spans="2:32" ht="15.75" thickBot="1" x14ac:dyDescent="0.3">
      <c r="B35" s="24"/>
      <c r="D35" s="1">
        <f>D34*2</f>
        <v>0.94399999999999995</v>
      </c>
      <c r="F35" s="139">
        <f>F34*2</f>
        <v>0.77649999999999997</v>
      </c>
      <c r="G35" s="139">
        <f>G34*2</f>
        <v>0.38250000000000001</v>
      </c>
      <c r="M35" s="25"/>
      <c r="V35" s="15" t="s">
        <v>57</v>
      </c>
      <c r="AF35" s="25"/>
    </row>
    <row r="36" spans="2:32" x14ac:dyDescent="0.25">
      <c r="B36" s="24"/>
      <c r="D36" s="2" t="s">
        <v>0</v>
      </c>
      <c r="F36" s="54">
        <v>15.53</v>
      </c>
      <c r="G36" s="55">
        <v>7.65</v>
      </c>
      <c r="H36" s="58"/>
      <c r="I36" s="7" t="s">
        <v>77</v>
      </c>
      <c r="J36" s="7" t="s">
        <v>78</v>
      </c>
      <c r="K36" s="52" t="s">
        <v>71</v>
      </c>
      <c r="M36" s="25"/>
      <c r="AF36" s="25"/>
    </row>
    <row r="37" spans="2:32" ht="15.75" thickBot="1" x14ac:dyDescent="0.3">
      <c r="B37" s="24"/>
      <c r="D37" s="3" t="s">
        <v>8</v>
      </c>
      <c r="F37" s="56">
        <v>40</v>
      </c>
      <c r="G37" s="57">
        <v>40</v>
      </c>
      <c r="I37" s="3" t="s">
        <v>3</v>
      </c>
      <c r="J37" s="3" t="s">
        <v>3</v>
      </c>
      <c r="K37" s="34" t="s">
        <v>4</v>
      </c>
      <c r="M37" s="25"/>
      <c r="V37" t="s">
        <v>58</v>
      </c>
      <c r="AF37" s="25"/>
    </row>
    <row r="38" spans="2:32" ht="15.75" thickBot="1" x14ac:dyDescent="0.3">
      <c r="D38" s="4">
        <f>D34*2.20462</f>
        <v>1.0405806399999999</v>
      </c>
      <c r="I38" s="140">
        <v>48.74</v>
      </c>
      <c r="J38" s="141">
        <f>I38/C34</f>
        <v>43.870387038703875</v>
      </c>
      <c r="K38" s="53">
        <f>C34*(D40*E34+I38*(D40+F34+G34))</f>
        <v>162.57254226121921</v>
      </c>
      <c r="L38" t="s">
        <v>84</v>
      </c>
      <c r="M38" s="25"/>
      <c r="V38" t="s">
        <v>59</v>
      </c>
      <c r="AF38" s="25"/>
    </row>
    <row r="39" spans="2:32" x14ac:dyDescent="0.25">
      <c r="B39" s="124" t="s">
        <v>459</v>
      </c>
      <c r="D39" s="4"/>
      <c r="F39" t="s">
        <v>460</v>
      </c>
      <c r="I39" s="140"/>
      <c r="J39" s="141"/>
      <c r="K39" s="4"/>
      <c r="M39" s="25"/>
      <c r="AF39" s="25"/>
    </row>
    <row r="40" spans="2:32" x14ac:dyDescent="0.25">
      <c r="B40" s="124" t="s">
        <v>462</v>
      </c>
      <c r="C40" s="60" t="s">
        <v>461</v>
      </c>
      <c r="D40" s="139">
        <f>D35*2.20462</f>
        <v>2.0811612799999999</v>
      </c>
      <c r="F40" t="s">
        <v>462</v>
      </c>
      <c r="G40" s="60" t="s">
        <v>461</v>
      </c>
      <c r="M40" s="25"/>
      <c r="AF40" s="25"/>
    </row>
    <row r="41" spans="2:32" x14ac:dyDescent="0.25">
      <c r="B41" s="54">
        <v>12.79</v>
      </c>
      <c r="C41" s="55">
        <v>7.65</v>
      </c>
      <c r="F41" s="54">
        <v>15.53</v>
      </c>
      <c r="G41" s="55">
        <v>7.65</v>
      </c>
      <c r="K41" s="65"/>
      <c r="M41" s="25"/>
      <c r="AF41" s="25"/>
    </row>
    <row r="42" spans="2:32" x14ac:dyDescent="0.25">
      <c r="B42" s="338">
        <v>40</v>
      </c>
      <c r="C42" s="339">
        <v>40</v>
      </c>
      <c r="F42" s="56">
        <v>40</v>
      </c>
      <c r="G42" s="57">
        <v>40</v>
      </c>
      <c r="M42" s="25"/>
      <c r="AF42" s="25"/>
    </row>
    <row r="43" spans="2:32" x14ac:dyDescent="0.25">
      <c r="B43" s="337">
        <v>16.71</v>
      </c>
      <c r="C43" s="340">
        <v>9.2800000000000011</v>
      </c>
      <c r="F43" s="337">
        <v>20.440000000000001</v>
      </c>
      <c r="G43" s="340">
        <v>9.2800000000000011</v>
      </c>
      <c r="M43" s="25"/>
      <c r="AF43" s="25"/>
    </row>
    <row r="44" spans="2:32" x14ac:dyDescent="0.25">
      <c r="B44" s="56">
        <v>50</v>
      </c>
      <c r="C44" s="57">
        <v>50</v>
      </c>
      <c r="F44" s="56">
        <v>50</v>
      </c>
      <c r="G44" s="57">
        <v>50</v>
      </c>
      <c r="M44" s="25"/>
      <c r="AF44" s="25"/>
    </row>
    <row r="45" spans="2:32" x14ac:dyDescent="0.25">
      <c r="B45" s="338">
        <v>20.63</v>
      </c>
      <c r="C45" s="339">
        <v>10.91</v>
      </c>
      <c r="F45" s="54">
        <v>25.35</v>
      </c>
      <c r="G45" s="55">
        <v>10.91</v>
      </c>
      <c r="M45" s="25"/>
      <c r="AF45" s="25"/>
    </row>
    <row r="46" spans="2:32" x14ac:dyDescent="0.25">
      <c r="B46" s="56">
        <v>60</v>
      </c>
      <c r="C46" s="57">
        <v>60</v>
      </c>
      <c r="F46" s="56">
        <v>60</v>
      </c>
      <c r="G46" s="57">
        <v>60</v>
      </c>
      <c r="M46" s="25"/>
      <c r="AF46" s="25"/>
    </row>
    <row r="47" spans="2:32" x14ac:dyDescent="0.25">
      <c r="B47" s="337">
        <v>25.18</v>
      </c>
      <c r="C47" s="340">
        <v>12.54</v>
      </c>
      <c r="F47" s="337">
        <v>31.195</v>
      </c>
      <c r="G47" s="340">
        <v>12.54</v>
      </c>
      <c r="M47" s="25"/>
      <c r="AF47" s="25"/>
    </row>
    <row r="48" spans="2:32" x14ac:dyDescent="0.25">
      <c r="B48" s="56">
        <v>70</v>
      </c>
      <c r="C48" s="57">
        <v>70</v>
      </c>
      <c r="D48" s="47"/>
      <c r="E48" s="47"/>
      <c r="F48" s="56">
        <v>70</v>
      </c>
      <c r="G48" s="57">
        <v>70</v>
      </c>
      <c r="H48" s="47"/>
      <c r="I48" s="47"/>
      <c r="J48" s="47"/>
      <c r="K48" s="47"/>
      <c r="L48" s="47"/>
      <c r="M48" s="48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8"/>
    </row>
    <row r="49" spans="1:13" x14ac:dyDescent="0.25">
      <c r="B49" s="54">
        <v>29.73</v>
      </c>
      <c r="C49" s="55">
        <v>14.17</v>
      </c>
      <c r="F49" s="54">
        <v>37.04</v>
      </c>
      <c r="G49" s="55">
        <v>14.17</v>
      </c>
    </row>
    <row r="50" spans="1:13" x14ac:dyDescent="0.25">
      <c r="B50" s="56">
        <v>80</v>
      </c>
      <c r="C50" s="57">
        <v>80</v>
      </c>
      <c r="D50" s="47"/>
      <c r="E50" s="47"/>
      <c r="F50" s="56">
        <v>80</v>
      </c>
      <c r="G50" s="57">
        <v>80</v>
      </c>
    </row>
    <row r="52" spans="1:13" ht="15.75" thickBot="1" x14ac:dyDescent="0.3"/>
    <row r="53" spans="1:13" ht="15.75" x14ac:dyDescent="0.25">
      <c r="H53" s="104" t="s">
        <v>81</v>
      </c>
      <c r="L53" t="s">
        <v>267</v>
      </c>
    </row>
    <row r="54" spans="1:13" x14ac:dyDescent="0.25">
      <c r="I54">
        <f>((B34/C34)-(D40*E34))/(D40+F34+G34)</f>
        <v>49.114648082249438</v>
      </c>
      <c r="L54" s="15" t="s">
        <v>261</v>
      </c>
    </row>
    <row r="55" spans="1:13" x14ac:dyDescent="0.25">
      <c r="A55" t="s">
        <v>52</v>
      </c>
      <c r="B55" s="43" t="s">
        <v>53</v>
      </c>
      <c r="M55" s="106" t="s">
        <v>264</v>
      </c>
    </row>
    <row r="56" spans="1:13" x14ac:dyDescent="0.25">
      <c r="I56">
        <f>((163.7/1.11)-(2.098*8))/(2.098+0.2656+0.2366)</f>
        <v>50.262855733204162</v>
      </c>
      <c r="L56" s="102" t="s">
        <v>268</v>
      </c>
    </row>
    <row r="59" spans="1:13" ht="15.75" x14ac:dyDescent="0.25">
      <c r="G59" s="119" t="s">
        <v>282</v>
      </c>
      <c r="H59" s="61" t="s">
        <v>80</v>
      </c>
    </row>
    <row r="64" spans="1:13" x14ac:dyDescent="0.25">
      <c r="H64" s="1" t="s">
        <v>435</v>
      </c>
      <c r="I64" s="1" t="s">
        <v>436</v>
      </c>
      <c r="J64" s="1" t="s">
        <v>12</v>
      </c>
      <c r="K64" s="1" t="s">
        <v>437</v>
      </c>
      <c r="L64" s="1" t="s">
        <v>69</v>
      </c>
      <c r="M64" s="1" t="s">
        <v>70</v>
      </c>
    </row>
    <row r="65" spans="8:21" x14ac:dyDescent="0.25">
      <c r="H65" s="1">
        <v>20</v>
      </c>
      <c r="I65" s="1">
        <v>1.1100000000000001</v>
      </c>
      <c r="J65" s="1">
        <v>0.9</v>
      </c>
      <c r="K65" s="1">
        <f>H65*I65</f>
        <v>22.200000000000003</v>
      </c>
      <c r="L65" s="1">
        <v>0.96199999999999997</v>
      </c>
      <c r="M65" s="1">
        <v>6</v>
      </c>
    </row>
    <row r="66" spans="8:21" x14ac:dyDescent="0.25">
      <c r="H66" s="1">
        <v>40</v>
      </c>
      <c r="I66" s="1">
        <v>1.1100000000000001</v>
      </c>
      <c r="J66" s="1">
        <v>0.9</v>
      </c>
      <c r="K66" s="1">
        <f t="shared" ref="K66:K69" si="1">H66*I66</f>
        <v>44.400000000000006</v>
      </c>
      <c r="L66" s="1"/>
      <c r="M66" s="1"/>
    </row>
    <row r="67" spans="8:21" x14ac:dyDescent="0.25">
      <c r="H67" s="1">
        <v>60</v>
      </c>
      <c r="I67" s="1">
        <v>1.1100000000000001</v>
      </c>
      <c r="J67" s="1">
        <v>0.9</v>
      </c>
      <c r="K67" s="1">
        <f t="shared" si="1"/>
        <v>66.600000000000009</v>
      </c>
      <c r="L67" s="1"/>
      <c r="M67" s="1"/>
    </row>
    <row r="68" spans="8:21" x14ac:dyDescent="0.25">
      <c r="H68" s="1">
        <v>80</v>
      </c>
      <c r="I68" s="1">
        <v>1.1100000000000001</v>
      </c>
      <c r="J68" s="1">
        <v>0.9</v>
      </c>
      <c r="K68" s="1">
        <f t="shared" si="1"/>
        <v>88.800000000000011</v>
      </c>
      <c r="L68" s="1"/>
      <c r="M68" s="1"/>
    </row>
    <row r="69" spans="8:21" x14ac:dyDescent="0.25">
      <c r="H69" s="1">
        <v>100</v>
      </c>
      <c r="I69" s="1">
        <v>1.1100000000000001</v>
      </c>
      <c r="J69" s="1">
        <v>0.9</v>
      </c>
      <c r="K69" s="1">
        <f t="shared" si="1"/>
        <v>111.00000000000001</v>
      </c>
      <c r="L69" s="1"/>
      <c r="M69" s="1"/>
    </row>
    <row r="70" spans="8:21" x14ac:dyDescent="0.25">
      <c r="S70">
        <v>5.0999999999999996</v>
      </c>
      <c r="T70">
        <v>4.2</v>
      </c>
      <c r="U70" s="60">
        <f>SUM(S70:T70)</f>
        <v>9.3000000000000007</v>
      </c>
    </row>
    <row r="71" spans="8:21" x14ac:dyDescent="0.25">
      <c r="S71">
        <v>11</v>
      </c>
      <c r="T71">
        <v>7.3</v>
      </c>
      <c r="U71" s="60">
        <f t="shared" ref="U71:U84" si="2">SUM(S71:T71)</f>
        <v>18.3</v>
      </c>
    </row>
    <row r="72" spans="8:21" x14ac:dyDescent="0.25">
      <c r="S72">
        <v>17.600000000000001</v>
      </c>
      <c r="T72">
        <v>10.4</v>
      </c>
      <c r="U72" s="60">
        <f t="shared" si="2"/>
        <v>28</v>
      </c>
    </row>
    <row r="73" spans="8:21" x14ac:dyDescent="0.25">
      <c r="S73">
        <v>25.3</v>
      </c>
      <c r="T73">
        <v>13.5</v>
      </c>
      <c r="U73" s="60">
        <f t="shared" si="2"/>
        <v>38.799999999999997</v>
      </c>
    </row>
    <row r="74" spans="8:21" x14ac:dyDescent="0.25">
      <c r="J74">
        <f>1/1.11</f>
        <v>0.9009009009009008</v>
      </c>
      <c r="S74">
        <v>34.299999999999997</v>
      </c>
      <c r="T74">
        <v>16.5</v>
      </c>
      <c r="U74" s="60">
        <f t="shared" si="2"/>
        <v>50.8</v>
      </c>
    </row>
    <row r="75" spans="8:21" x14ac:dyDescent="0.25">
      <c r="S75">
        <v>44.9</v>
      </c>
      <c r="T75">
        <v>19.600000000000001</v>
      </c>
      <c r="U75" s="60">
        <f t="shared" si="2"/>
        <v>64.5</v>
      </c>
    </row>
    <row r="76" spans="8:21" x14ac:dyDescent="0.25">
      <c r="S76">
        <v>57.5</v>
      </c>
      <c r="T76">
        <v>22.7</v>
      </c>
      <c r="U76" s="60">
        <f t="shared" si="2"/>
        <v>80.2</v>
      </c>
    </row>
    <row r="77" spans="8:21" x14ac:dyDescent="0.25">
      <c r="S77">
        <v>73</v>
      </c>
      <c r="T77">
        <v>25.7</v>
      </c>
      <c r="U77" s="60">
        <f t="shared" si="2"/>
        <v>98.7</v>
      </c>
    </row>
    <row r="78" spans="8:21" x14ac:dyDescent="0.25">
      <c r="S78">
        <v>92.4</v>
      </c>
      <c r="T78">
        <v>28.8</v>
      </c>
      <c r="U78" s="60">
        <f t="shared" si="2"/>
        <v>121.2</v>
      </c>
    </row>
    <row r="79" spans="8:21" x14ac:dyDescent="0.25">
      <c r="S79">
        <v>177.3</v>
      </c>
      <c r="T79">
        <v>31.9</v>
      </c>
      <c r="U79" s="60">
        <f t="shared" si="2"/>
        <v>209.20000000000002</v>
      </c>
    </row>
    <row r="80" spans="8:21" x14ac:dyDescent="0.25">
      <c r="S80">
        <v>150.4</v>
      </c>
      <c r="T80">
        <v>35</v>
      </c>
      <c r="U80" s="60">
        <f t="shared" si="2"/>
        <v>185.4</v>
      </c>
    </row>
    <row r="81" spans="19:21" x14ac:dyDescent="0.25">
      <c r="S81">
        <v>196.7</v>
      </c>
      <c r="T81">
        <v>38</v>
      </c>
      <c r="U81" s="60">
        <f t="shared" si="2"/>
        <v>234.7</v>
      </c>
    </row>
    <row r="82" spans="19:21" x14ac:dyDescent="0.25">
      <c r="S82">
        <v>265.89999999999998</v>
      </c>
      <c r="T82">
        <v>41.1</v>
      </c>
      <c r="U82" s="60">
        <f t="shared" si="2"/>
        <v>307</v>
      </c>
    </row>
    <row r="83" spans="19:21" x14ac:dyDescent="0.25">
      <c r="S83">
        <v>380.8</v>
      </c>
      <c r="T83">
        <v>44.2</v>
      </c>
      <c r="U83" s="60">
        <f t="shared" si="2"/>
        <v>425</v>
      </c>
    </row>
    <row r="84" spans="19:21" x14ac:dyDescent="0.25">
      <c r="S84">
        <v>608.9</v>
      </c>
      <c r="T84">
        <v>47.2</v>
      </c>
      <c r="U84" s="60">
        <f t="shared" si="2"/>
        <v>656.1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2AB50-658C-4528-92E7-B49D2552743D}">
  <sheetPr transitionEvaluation="1" transitionEntry="1">
    <tabColor rgb="FFFFFFCC"/>
  </sheetPr>
  <dimension ref="A1:AC56"/>
  <sheetViews>
    <sheetView showGridLines="0" zoomScale="90" zoomScaleNormal="90" workbookViewId="0">
      <selection activeCell="K8" sqref="K8"/>
    </sheetView>
  </sheetViews>
  <sheetFormatPr defaultRowHeight="15" x14ac:dyDescent="0.25"/>
  <cols>
    <col min="1" max="1" width="10.7109375" customWidth="1"/>
    <col min="2" max="5" width="8.42578125" customWidth="1"/>
    <col min="6" max="6" width="9.28515625" customWidth="1"/>
    <col min="7" max="10" width="8.42578125" customWidth="1"/>
    <col min="11" max="11" width="8.28515625" customWidth="1"/>
    <col min="12" max="17" width="8.5703125" customWidth="1"/>
    <col min="18" max="20" width="9.7109375" customWidth="1"/>
    <col min="21" max="21" width="8.7109375" customWidth="1"/>
    <col min="22" max="22" width="9.7109375" customWidth="1"/>
    <col min="23" max="26" width="8.7109375" customWidth="1"/>
    <col min="27" max="27" width="12.5703125" customWidth="1"/>
  </cols>
  <sheetData>
    <row r="1" spans="1:29" x14ac:dyDescent="0.25">
      <c r="J1" s="60" t="s">
        <v>425</v>
      </c>
    </row>
    <row r="2" spans="1:29" x14ac:dyDescent="0.25">
      <c r="A2" t="s">
        <v>140</v>
      </c>
      <c r="B2" s="81" t="s">
        <v>173</v>
      </c>
      <c r="C2" s="80"/>
      <c r="D2" s="80"/>
      <c r="E2" s="80"/>
      <c r="F2" s="80"/>
      <c r="G2" s="80"/>
      <c r="H2" s="73"/>
      <c r="J2" s="60" t="s">
        <v>424</v>
      </c>
      <c r="AA2" t="s">
        <v>102</v>
      </c>
    </row>
    <row r="3" spans="1:29" ht="15.75" thickBot="1" x14ac:dyDescent="0.3">
      <c r="A3" s="60" t="s">
        <v>375</v>
      </c>
      <c r="B3" s="318" t="s">
        <v>453</v>
      </c>
      <c r="C3" s="272"/>
      <c r="D3" s="45"/>
      <c r="E3" s="45"/>
      <c r="F3" s="45"/>
      <c r="G3" s="45"/>
      <c r="H3" s="46"/>
      <c r="S3" s="1" t="s">
        <v>457</v>
      </c>
      <c r="AA3">
        <v>101.3069</v>
      </c>
      <c r="AB3" t="s">
        <v>105</v>
      </c>
      <c r="AC3" s="15" t="s">
        <v>103</v>
      </c>
    </row>
    <row r="4" spans="1:29" x14ac:dyDescent="0.25">
      <c r="B4" s="24"/>
      <c r="C4" s="62"/>
      <c r="E4" s="50" t="s">
        <v>159</v>
      </c>
      <c r="F4" s="62">
        <v>180</v>
      </c>
      <c r="G4" s="76" t="s">
        <v>89</v>
      </c>
      <c r="H4" s="25" t="s">
        <v>160</v>
      </c>
      <c r="J4" s="259"/>
      <c r="K4" s="219"/>
      <c r="L4" s="219"/>
      <c r="M4" s="219"/>
      <c r="N4" s="218"/>
      <c r="O4" s="218" t="s">
        <v>354</v>
      </c>
      <c r="P4" s="218" t="s">
        <v>361</v>
      </c>
      <c r="Q4" s="240" t="s">
        <v>355</v>
      </c>
      <c r="S4" s="1" t="s">
        <v>458</v>
      </c>
      <c r="V4" s="2" t="s">
        <v>451</v>
      </c>
      <c r="W4" s="2" t="s">
        <v>355</v>
      </c>
      <c r="X4" s="2" t="s">
        <v>355</v>
      </c>
      <c r="AA4">
        <v>15.702999999999999</v>
      </c>
      <c r="AB4" t="s">
        <v>106</v>
      </c>
      <c r="AC4" s="15" t="s">
        <v>104</v>
      </c>
    </row>
    <row r="5" spans="1:29" x14ac:dyDescent="0.25">
      <c r="B5" s="24"/>
      <c r="C5" s="62"/>
      <c r="E5" s="77" t="s">
        <v>147</v>
      </c>
      <c r="F5" s="68">
        <v>1040.0999999999999</v>
      </c>
      <c r="G5" s="76" t="s">
        <v>86</v>
      </c>
      <c r="H5" s="25" t="s">
        <v>349</v>
      </c>
      <c r="J5" s="221"/>
      <c r="K5" s="1" t="s">
        <v>249</v>
      </c>
      <c r="L5" s="1" t="s">
        <v>357</v>
      </c>
      <c r="M5" s="1" t="s">
        <v>358</v>
      </c>
      <c r="N5" s="1" t="s">
        <v>356</v>
      </c>
      <c r="O5" s="249" t="s">
        <v>413</v>
      </c>
      <c r="P5" s="249" t="s">
        <v>413</v>
      </c>
      <c r="Q5" s="255" t="s">
        <v>413</v>
      </c>
      <c r="S5" s="330" t="s">
        <v>249</v>
      </c>
      <c r="T5" s="330" t="s">
        <v>446</v>
      </c>
      <c r="U5" s="330" t="s">
        <v>9</v>
      </c>
      <c r="V5" s="331" t="s">
        <v>5</v>
      </c>
      <c r="W5" s="331" t="s">
        <v>5</v>
      </c>
      <c r="X5" s="331" t="s">
        <v>454</v>
      </c>
      <c r="AA5" s="51">
        <f>AA4/AA3</f>
        <v>0.15500424946375815</v>
      </c>
      <c r="AB5" t="s">
        <v>107</v>
      </c>
    </row>
    <row r="6" spans="1:29" x14ac:dyDescent="0.25">
      <c r="B6" s="24"/>
      <c r="E6" s="50" t="s">
        <v>351</v>
      </c>
      <c r="F6" s="62">
        <v>0</v>
      </c>
      <c r="H6" s="215">
        <v>1.62</v>
      </c>
      <c r="J6" s="221"/>
      <c r="K6" s="1">
        <v>60</v>
      </c>
      <c r="L6" s="6">
        <v>2</v>
      </c>
      <c r="M6" s="6">
        <v>1</v>
      </c>
      <c r="N6" s="6">
        <v>1E-3</v>
      </c>
      <c r="O6" s="6">
        <v>16.920000000000002</v>
      </c>
      <c r="P6" s="6">
        <v>16.920000000000002</v>
      </c>
      <c r="Q6" s="256">
        <v>16.8</v>
      </c>
      <c r="S6" s="6">
        <v>180</v>
      </c>
      <c r="T6" s="6" t="s">
        <v>452</v>
      </c>
      <c r="U6" s="6" t="s">
        <v>452</v>
      </c>
      <c r="V6" s="6">
        <v>86.11</v>
      </c>
      <c r="W6" s="6">
        <v>86.04</v>
      </c>
      <c r="X6" s="6">
        <v>95.6</v>
      </c>
      <c r="AA6">
        <v>1.5499999999999999E-3</v>
      </c>
      <c r="AB6" t="s">
        <v>131</v>
      </c>
    </row>
    <row r="7" spans="1:29" x14ac:dyDescent="0.25">
      <c r="B7" s="24"/>
      <c r="E7" s="77" t="s">
        <v>148</v>
      </c>
      <c r="F7" s="68">
        <v>345</v>
      </c>
      <c r="G7" s="76" t="s">
        <v>86</v>
      </c>
      <c r="H7" s="25" t="s">
        <v>154</v>
      </c>
      <c r="J7" s="221"/>
      <c r="K7" s="1">
        <v>120</v>
      </c>
      <c r="L7" s="6">
        <v>2</v>
      </c>
      <c r="M7" s="6">
        <v>1</v>
      </c>
      <c r="N7" s="6">
        <v>1E-3</v>
      </c>
      <c r="O7" s="6">
        <v>42.58</v>
      </c>
      <c r="P7" s="6">
        <v>42.58</v>
      </c>
      <c r="Q7" s="256">
        <v>42.39</v>
      </c>
      <c r="S7" s="334">
        <v>200</v>
      </c>
      <c r="T7" s="334" t="s">
        <v>452</v>
      </c>
      <c r="U7" s="334" t="s">
        <v>452</v>
      </c>
      <c r="V7" s="336">
        <v>108.23</v>
      </c>
      <c r="W7" s="334">
        <v>108.41</v>
      </c>
      <c r="X7" s="334">
        <v>120.4</v>
      </c>
      <c r="Y7" t="s">
        <v>455</v>
      </c>
      <c r="AA7" s="67">
        <v>6.1023700000000003E-5</v>
      </c>
      <c r="AB7" s="15" t="s">
        <v>134</v>
      </c>
    </row>
    <row r="8" spans="1:29" x14ac:dyDescent="0.25">
      <c r="B8" s="24"/>
      <c r="E8" s="77" t="s">
        <v>204</v>
      </c>
      <c r="F8" s="68">
        <v>4.9800000000000004</v>
      </c>
      <c r="G8" s="76" t="s">
        <v>89</v>
      </c>
      <c r="H8" s="25" t="s">
        <v>144</v>
      </c>
      <c r="J8" s="223" t="s">
        <v>359</v>
      </c>
      <c r="K8" s="216">
        <v>180</v>
      </c>
      <c r="L8" s="167">
        <v>2</v>
      </c>
      <c r="M8" s="167">
        <v>1</v>
      </c>
      <c r="N8" s="167">
        <v>1E-3</v>
      </c>
      <c r="O8" s="167">
        <v>86.11</v>
      </c>
      <c r="P8" s="167">
        <v>86.11</v>
      </c>
      <c r="Q8" s="257">
        <v>86.04</v>
      </c>
      <c r="S8" s="6">
        <v>240</v>
      </c>
      <c r="T8" s="6" t="s">
        <v>452</v>
      </c>
      <c r="U8" s="6" t="s">
        <v>452</v>
      </c>
      <c r="V8" s="6">
        <v>176.11</v>
      </c>
      <c r="W8" s="6">
        <v>177.64</v>
      </c>
      <c r="X8" s="6">
        <v>197.4</v>
      </c>
      <c r="AA8">
        <v>1421.941</v>
      </c>
      <c r="AB8" s="15" t="s">
        <v>133</v>
      </c>
    </row>
    <row r="9" spans="1:29" x14ac:dyDescent="0.25">
      <c r="B9" s="24"/>
      <c r="E9" s="77" t="s">
        <v>205</v>
      </c>
      <c r="F9" s="68">
        <v>22.5</v>
      </c>
      <c r="G9" s="76" t="s">
        <v>143</v>
      </c>
      <c r="H9" s="25" t="s">
        <v>145</v>
      </c>
      <c r="J9" s="221"/>
      <c r="K9" s="1">
        <v>240</v>
      </c>
      <c r="L9" s="6">
        <v>2</v>
      </c>
      <c r="M9" s="6">
        <v>1</v>
      </c>
      <c r="N9" s="6">
        <v>1E-3</v>
      </c>
      <c r="O9" s="6">
        <v>176.11</v>
      </c>
      <c r="P9" s="6">
        <v>176.11</v>
      </c>
      <c r="Q9" s="256">
        <v>177.64</v>
      </c>
      <c r="S9" s="334">
        <v>266.60000000000002</v>
      </c>
      <c r="T9" s="334" t="s">
        <v>452</v>
      </c>
      <c r="U9" s="334" t="s">
        <v>452</v>
      </c>
      <c r="V9" s="336">
        <v>256.29000000000002</v>
      </c>
      <c r="W9" s="334">
        <v>265.70999999999998</v>
      </c>
      <c r="X9" s="334">
        <v>295.2</v>
      </c>
      <c r="Y9" t="s">
        <v>455</v>
      </c>
      <c r="AA9">
        <v>56</v>
      </c>
      <c r="AB9" t="s">
        <v>135</v>
      </c>
    </row>
    <row r="10" spans="1:29" ht="15.75" thickBot="1" x14ac:dyDescent="0.3">
      <c r="B10" s="24"/>
      <c r="E10" s="77" t="s">
        <v>206</v>
      </c>
      <c r="F10" s="68">
        <v>43.3</v>
      </c>
      <c r="G10" s="76" t="s">
        <v>89</v>
      </c>
      <c r="H10" s="25" t="s">
        <v>146</v>
      </c>
      <c r="J10" s="224" t="s">
        <v>360</v>
      </c>
      <c r="K10" s="238">
        <v>260</v>
      </c>
      <c r="L10" s="237">
        <v>2</v>
      </c>
      <c r="M10" s="237">
        <v>1</v>
      </c>
      <c r="N10" s="237">
        <v>1E-3</v>
      </c>
      <c r="O10" s="237">
        <v>232.09</v>
      </c>
      <c r="P10" s="237">
        <v>232.09</v>
      </c>
      <c r="Q10" s="260">
        <v>235.64</v>
      </c>
      <c r="S10" s="6">
        <v>269</v>
      </c>
      <c r="T10" s="6" t="s">
        <v>452</v>
      </c>
      <c r="U10" s="6" t="s">
        <v>452</v>
      </c>
      <c r="V10" s="6">
        <v>266.04000000000002</v>
      </c>
      <c r="W10" s="6">
        <v>276.64</v>
      </c>
      <c r="X10" s="6">
        <v>307.3</v>
      </c>
    </row>
    <row r="11" spans="1:29" ht="15.75" thickBot="1" x14ac:dyDescent="0.3">
      <c r="B11" s="24" t="s">
        <v>352</v>
      </c>
      <c r="E11" s="77" t="s">
        <v>228</v>
      </c>
      <c r="F11" s="68">
        <v>48</v>
      </c>
      <c r="G11" s="76" t="s">
        <v>89</v>
      </c>
      <c r="H11" s="25"/>
      <c r="K11" s="1"/>
      <c r="L11" s="1"/>
      <c r="M11" s="1"/>
      <c r="N11" s="1"/>
      <c r="O11" s="1"/>
      <c r="R11" s="1"/>
      <c r="S11" s="334">
        <v>298.89999999999998</v>
      </c>
      <c r="T11" s="334" t="s">
        <v>452</v>
      </c>
      <c r="U11" s="334" t="s">
        <v>452</v>
      </c>
      <c r="V11" s="334">
        <v>460.6</v>
      </c>
      <c r="W11" s="334">
        <v>480.65</v>
      </c>
      <c r="X11" s="334">
        <v>534</v>
      </c>
      <c r="Y11" t="s">
        <v>455</v>
      </c>
    </row>
    <row r="12" spans="1:29" x14ac:dyDescent="0.25">
      <c r="B12" s="24"/>
      <c r="H12" s="25"/>
      <c r="J12" s="217"/>
      <c r="K12" s="218"/>
      <c r="L12" s="219"/>
      <c r="M12" s="219"/>
      <c r="N12" s="218"/>
      <c r="O12" s="218" t="s">
        <v>354</v>
      </c>
      <c r="P12" s="218" t="s">
        <v>361</v>
      </c>
      <c r="Q12" s="240" t="s">
        <v>355</v>
      </c>
      <c r="R12" s="1"/>
      <c r="S12" s="1"/>
      <c r="T12" s="1"/>
      <c r="AA12" s="15" t="s">
        <v>428</v>
      </c>
    </row>
    <row r="13" spans="1:29" x14ac:dyDescent="0.25">
      <c r="B13" s="24"/>
      <c r="D13" s="77" t="s">
        <v>353</v>
      </c>
      <c r="E13" s="77" t="s">
        <v>149</v>
      </c>
      <c r="F13" s="65">
        <f>(F10-F8)*3.1416*(F9+F14)</f>
        <v>2949.4597439999998</v>
      </c>
      <c r="G13" s="76" t="s">
        <v>89</v>
      </c>
      <c r="H13" s="82" t="s">
        <v>155</v>
      </c>
      <c r="J13" s="221"/>
      <c r="K13" s="1" t="s">
        <v>249</v>
      </c>
      <c r="L13" s="1" t="s">
        <v>357</v>
      </c>
      <c r="M13" s="1" t="s">
        <v>357</v>
      </c>
      <c r="N13" s="1" t="s">
        <v>356</v>
      </c>
      <c r="O13" s="249" t="s">
        <v>413</v>
      </c>
      <c r="P13" s="249" t="s">
        <v>413</v>
      </c>
      <c r="Q13" s="255" t="s">
        <v>413</v>
      </c>
      <c r="R13" s="1"/>
      <c r="S13" s="1"/>
      <c r="T13" s="1"/>
    </row>
    <row r="14" spans="1:29" x14ac:dyDescent="0.25">
      <c r="B14" s="24"/>
      <c r="E14" s="50" t="s">
        <v>351</v>
      </c>
      <c r="F14" s="62">
        <v>2</v>
      </c>
      <c r="H14" s="215">
        <v>2.6749999999999998</v>
      </c>
      <c r="J14" s="221"/>
      <c r="K14" s="1">
        <v>60</v>
      </c>
      <c r="L14" s="6">
        <v>2</v>
      </c>
      <c r="M14" s="6">
        <v>1.32</v>
      </c>
      <c r="N14" s="6">
        <v>80</v>
      </c>
      <c r="O14" s="6">
        <v>23.04</v>
      </c>
      <c r="P14" s="6">
        <v>23.04</v>
      </c>
      <c r="Q14" s="256">
        <v>21.13</v>
      </c>
      <c r="R14" s="1"/>
      <c r="S14" s="1"/>
      <c r="T14" s="1"/>
    </row>
    <row r="15" spans="1:29" x14ac:dyDescent="0.25">
      <c r="B15" s="24"/>
      <c r="E15" s="77" t="s">
        <v>150</v>
      </c>
      <c r="F15" s="65">
        <f>F13*(F8/2)^2*3.1416/1000</f>
        <v>57.450267539125662</v>
      </c>
      <c r="G15" s="76" t="s">
        <v>86</v>
      </c>
      <c r="H15" s="25" t="s">
        <v>157</v>
      </c>
      <c r="J15" s="221"/>
      <c r="K15" s="1">
        <v>120</v>
      </c>
      <c r="L15" s="6">
        <v>2</v>
      </c>
      <c r="M15" s="6">
        <v>1.32</v>
      </c>
      <c r="N15" s="6">
        <v>80</v>
      </c>
      <c r="O15" s="6">
        <v>60.4</v>
      </c>
      <c r="P15" s="6">
        <v>60.4</v>
      </c>
      <c r="Q15" s="256">
        <v>59.13</v>
      </c>
      <c r="R15" s="1"/>
      <c r="S15" s="1"/>
      <c r="T15" s="1"/>
    </row>
    <row r="16" spans="1:29" x14ac:dyDescent="0.25">
      <c r="B16" s="24"/>
      <c r="E16" s="77" t="s">
        <v>210</v>
      </c>
      <c r="F16" s="65">
        <f>(F11/2)^2*3.1416/100</f>
        <v>18.095616</v>
      </c>
      <c r="G16" s="76" t="s">
        <v>100</v>
      </c>
      <c r="H16" s="25" t="s">
        <v>211</v>
      </c>
      <c r="J16" s="223" t="s">
        <v>359</v>
      </c>
      <c r="K16" s="216">
        <v>180</v>
      </c>
      <c r="L16" s="167">
        <v>2</v>
      </c>
      <c r="M16" s="167">
        <v>1.32</v>
      </c>
      <c r="N16" s="167">
        <v>80</v>
      </c>
      <c r="O16" s="167">
        <v>129.44999999999999</v>
      </c>
      <c r="P16" s="167">
        <v>129.44999999999999</v>
      </c>
      <c r="Q16" s="257">
        <v>128.66999999999999</v>
      </c>
      <c r="R16" s="1"/>
      <c r="S16" s="1"/>
      <c r="T16" s="1"/>
    </row>
    <row r="17" spans="1:20" x14ac:dyDescent="0.25">
      <c r="B17" s="24"/>
      <c r="F17" s="65"/>
      <c r="H17" s="25"/>
      <c r="J17" s="221"/>
      <c r="K17" s="1">
        <v>240</v>
      </c>
      <c r="L17" s="6">
        <v>2</v>
      </c>
      <c r="M17" s="6">
        <v>1.32</v>
      </c>
      <c r="N17" s="6">
        <v>80</v>
      </c>
      <c r="O17" s="6">
        <v>290.27999999999997</v>
      </c>
      <c r="P17" s="6">
        <v>290.27999999999997</v>
      </c>
      <c r="Q17" s="256">
        <v>290.31</v>
      </c>
      <c r="R17" s="1"/>
      <c r="S17" s="1"/>
      <c r="T17" s="1"/>
    </row>
    <row r="18" spans="1:20" ht="15.75" thickBot="1" x14ac:dyDescent="0.3">
      <c r="B18" s="24"/>
      <c r="E18" s="77" t="s">
        <v>152</v>
      </c>
      <c r="F18" s="65">
        <f>(F5+F6)-F7-F15</f>
        <v>637.64973246087425</v>
      </c>
      <c r="G18" s="76" t="s">
        <v>86</v>
      </c>
      <c r="H18" s="25" t="s">
        <v>163</v>
      </c>
      <c r="J18" s="224" t="s">
        <v>360</v>
      </c>
      <c r="K18" s="225">
        <v>280</v>
      </c>
      <c r="L18" s="226">
        <v>2</v>
      </c>
      <c r="M18" s="226">
        <v>1.32</v>
      </c>
      <c r="N18" s="226">
        <v>80</v>
      </c>
      <c r="O18" s="226">
        <v>400.32</v>
      </c>
      <c r="P18" s="226">
        <v>400.32</v>
      </c>
      <c r="Q18" s="258">
        <v>400.87</v>
      </c>
      <c r="R18" s="1"/>
      <c r="S18" s="1"/>
      <c r="T18" s="1"/>
    </row>
    <row r="19" spans="1:20" ht="15.75" thickBot="1" x14ac:dyDescent="0.3">
      <c r="B19" s="24"/>
      <c r="E19" s="50" t="s">
        <v>158</v>
      </c>
      <c r="F19" s="65">
        <f>(F4/10)*F16</f>
        <v>325.72108800000001</v>
      </c>
      <c r="G19" s="76" t="s">
        <v>86</v>
      </c>
      <c r="H19" s="25" t="s">
        <v>172</v>
      </c>
      <c r="R19" s="1"/>
    </row>
    <row r="20" spans="1:20" x14ac:dyDescent="0.25">
      <c r="B20" s="24"/>
      <c r="E20" s="77" t="s">
        <v>164</v>
      </c>
      <c r="F20" s="65">
        <f>F18-F19</f>
        <v>311.92864446087424</v>
      </c>
      <c r="G20" s="76" t="s">
        <v>86</v>
      </c>
      <c r="H20" s="25" t="s">
        <v>212</v>
      </c>
      <c r="J20" s="217"/>
      <c r="K20" s="218"/>
      <c r="L20" s="219"/>
      <c r="M20" s="219"/>
      <c r="N20" s="218"/>
      <c r="O20" s="218" t="s">
        <v>354</v>
      </c>
      <c r="P20" s="218" t="s">
        <v>361</v>
      </c>
      <c r="Q20" s="240" t="s">
        <v>355</v>
      </c>
      <c r="R20" s="1"/>
    </row>
    <row r="21" spans="1:20" x14ac:dyDescent="0.25">
      <c r="B21" s="24"/>
      <c r="F21" s="65"/>
      <c r="H21" s="215"/>
      <c r="J21" s="221"/>
      <c r="K21" s="1" t="s">
        <v>249</v>
      </c>
      <c r="L21" s="1" t="s">
        <v>357</v>
      </c>
      <c r="M21" s="1" t="s">
        <v>357</v>
      </c>
      <c r="N21" s="1" t="s">
        <v>356</v>
      </c>
      <c r="O21" s="249" t="s">
        <v>413</v>
      </c>
      <c r="P21" s="249" t="s">
        <v>413</v>
      </c>
      <c r="Q21" s="255" t="s">
        <v>413</v>
      </c>
      <c r="R21" s="1"/>
    </row>
    <row r="22" spans="1:20" x14ac:dyDescent="0.25">
      <c r="B22" s="24"/>
      <c r="E22" s="77" t="s">
        <v>348</v>
      </c>
      <c r="F22" s="62">
        <v>1</v>
      </c>
      <c r="H22" s="215">
        <v>1.32</v>
      </c>
      <c r="J22" s="221"/>
      <c r="K22" s="4">
        <f>K6*1.111</f>
        <v>66.66</v>
      </c>
      <c r="L22" s="6">
        <v>2</v>
      </c>
      <c r="M22" s="6">
        <v>1.32</v>
      </c>
      <c r="N22" s="6">
        <v>80</v>
      </c>
      <c r="O22" s="6">
        <v>26.3</v>
      </c>
      <c r="P22" s="6"/>
      <c r="Q22" s="256"/>
      <c r="R22" s="1"/>
    </row>
    <row r="23" spans="1:20" x14ac:dyDescent="0.25">
      <c r="B23" s="24"/>
      <c r="E23" s="77" t="s">
        <v>165</v>
      </c>
      <c r="F23" s="65">
        <f>14.7*(F18/F20)^F22</f>
        <v>30.049984936059886</v>
      </c>
      <c r="G23" s="76" t="s">
        <v>92</v>
      </c>
      <c r="H23" s="25" t="s">
        <v>218</v>
      </c>
      <c r="J23" s="221"/>
      <c r="K23" s="4">
        <f>K7*1.111</f>
        <v>133.32</v>
      </c>
      <c r="L23" s="6">
        <v>2</v>
      </c>
      <c r="M23" s="6">
        <v>1.32</v>
      </c>
      <c r="N23" s="6">
        <v>80</v>
      </c>
      <c r="O23" s="6">
        <v>71.98</v>
      </c>
      <c r="P23" s="6"/>
      <c r="Q23" s="256"/>
      <c r="R23" s="1"/>
    </row>
    <row r="24" spans="1:20" x14ac:dyDescent="0.25">
      <c r="B24" s="24"/>
      <c r="E24" s="50" t="s">
        <v>167</v>
      </c>
      <c r="F24" s="65">
        <f>F23-14.7</f>
        <v>15.349984936059887</v>
      </c>
      <c r="G24" s="76" t="s">
        <v>92</v>
      </c>
      <c r="H24" s="25" t="s">
        <v>170</v>
      </c>
      <c r="J24" s="223" t="s">
        <v>416</v>
      </c>
      <c r="K24" s="261">
        <f>K8*1.111</f>
        <v>199.98</v>
      </c>
      <c r="L24" s="167">
        <v>2</v>
      </c>
      <c r="M24" s="167">
        <v>1.32</v>
      </c>
      <c r="N24" s="167">
        <v>80</v>
      </c>
      <c r="O24" s="167">
        <v>166.87</v>
      </c>
      <c r="P24" s="167"/>
      <c r="Q24" s="257"/>
      <c r="R24" s="1"/>
    </row>
    <row r="25" spans="1:20" x14ac:dyDescent="0.25">
      <c r="B25" s="24"/>
      <c r="H25" s="25"/>
      <c r="J25" s="221"/>
      <c r="K25" s="4">
        <f>K9*1.111</f>
        <v>266.64</v>
      </c>
      <c r="L25" s="6">
        <v>2</v>
      </c>
      <c r="M25" s="6">
        <v>1.32</v>
      </c>
      <c r="N25" s="6">
        <v>80</v>
      </c>
      <c r="O25" s="6">
        <v>450.28</v>
      </c>
      <c r="P25" s="6"/>
      <c r="Q25" s="256"/>
      <c r="R25" s="1"/>
    </row>
    <row r="26" spans="1:20" ht="15.75" thickBot="1" x14ac:dyDescent="0.3">
      <c r="B26" s="24"/>
      <c r="E26" s="77" t="s">
        <v>169</v>
      </c>
      <c r="F26" s="328">
        <f>F24*F16*0.155</f>
        <v>43.053952116352256</v>
      </c>
      <c r="G26" t="s">
        <v>106</v>
      </c>
      <c r="H26" s="25" t="s">
        <v>220</v>
      </c>
      <c r="J26" s="224"/>
      <c r="K26" s="262">
        <f>K10*1.111</f>
        <v>288.86</v>
      </c>
      <c r="L26" s="226">
        <v>2</v>
      </c>
      <c r="M26" s="226">
        <v>1.32</v>
      </c>
      <c r="N26" s="226">
        <v>80</v>
      </c>
      <c r="O26" s="226">
        <v>709.09</v>
      </c>
      <c r="P26" s="226"/>
      <c r="Q26" s="258"/>
      <c r="R26" s="1"/>
    </row>
    <row r="27" spans="1:20" ht="15.75" thickBot="1" x14ac:dyDescent="0.3">
      <c r="A27" s="60" t="s">
        <v>363</v>
      </c>
      <c r="B27" s="24"/>
      <c r="E27" s="77" t="s">
        <v>350</v>
      </c>
      <c r="F27" s="253">
        <f>F26*2</f>
        <v>86.107904232704513</v>
      </c>
      <c r="G27" s="282"/>
      <c r="H27" s="25"/>
    </row>
    <row r="28" spans="1:20" x14ac:dyDescent="0.25">
      <c r="A28" s="60" t="s">
        <v>362</v>
      </c>
      <c r="B28" s="26"/>
      <c r="C28" s="47"/>
      <c r="D28" s="47"/>
      <c r="E28" s="47"/>
      <c r="F28" s="79"/>
      <c r="G28" s="47"/>
      <c r="H28" s="48"/>
    </row>
    <row r="29" spans="1:20" x14ac:dyDescent="0.25">
      <c r="B29" s="78" t="s">
        <v>171</v>
      </c>
    </row>
    <row r="30" spans="1:20" ht="20.100000000000001" customHeight="1" x14ac:dyDescent="0.25"/>
    <row r="31" spans="1:20" ht="20.100000000000001" customHeight="1" x14ac:dyDescent="0.25">
      <c r="A31" s="270">
        <f>14.7*(F18/F20)^F22-14.7</f>
        <v>15.349984936059887</v>
      </c>
      <c r="B31" s="45"/>
      <c r="C31" s="271" t="s">
        <v>165</v>
      </c>
      <c r="D31" s="272" t="s">
        <v>366</v>
      </c>
      <c r="E31" s="45"/>
      <c r="F31" s="45"/>
      <c r="G31" s="45"/>
      <c r="H31" s="45"/>
      <c r="I31" s="45"/>
      <c r="J31" s="45"/>
      <c r="K31" s="46"/>
    </row>
    <row r="32" spans="1:20" ht="20.100000000000001" customHeight="1" x14ac:dyDescent="0.25">
      <c r="A32" s="24"/>
      <c r="G32" s="50" t="s">
        <v>167</v>
      </c>
      <c r="H32" s="15" t="s">
        <v>365</v>
      </c>
      <c r="K32" s="25"/>
    </row>
    <row r="33" spans="1:26" ht="20.100000000000001" customHeight="1" x14ac:dyDescent="0.25">
      <c r="A33" s="26"/>
      <c r="B33" s="47"/>
      <c r="C33" s="47"/>
      <c r="D33" s="47"/>
      <c r="E33" s="47"/>
      <c r="F33" s="47"/>
      <c r="G33" s="273" t="s">
        <v>169</v>
      </c>
      <c r="H33" s="274" t="s">
        <v>364</v>
      </c>
      <c r="I33" s="47"/>
      <c r="J33" s="47"/>
      <c r="K33" s="48"/>
      <c r="S33" s="318" t="s">
        <v>427</v>
      </c>
      <c r="T33" s="45"/>
      <c r="U33" s="45"/>
      <c r="V33" s="45"/>
      <c r="W33" s="45"/>
      <c r="X33" s="45"/>
      <c r="Y33" s="45"/>
      <c r="Z33" s="319">
        <v>1.2110000000000001</v>
      </c>
    </row>
    <row r="34" spans="1:26" ht="20.100000000000001" customHeight="1" x14ac:dyDescent="0.25">
      <c r="S34" s="320" t="s">
        <v>432</v>
      </c>
      <c r="Z34" s="321">
        <v>-4.766</v>
      </c>
    </row>
    <row r="35" spans="1:26" ht="20.100000000000001" customHeight="1" x14ac:dyDescent="0.25">
      <c r="S35" s="322" t="s">
        <v>426</v>
      </c>
      <c r="T35" s="1"/>
      <c r="U35" s="1"/>
      <c r="Z35" s="321">
        <v>16.8</v>
      </c>
    </row>
    <row r="36" spans="1:26" ht="20.100000000000001" customHeight="1" x14ac:dyDescent="0.25">
      <c r="A36" s="270">
        <f>(14.7*(F18/F20)^F22-14.7)*F16*0.155</f>
        <v>43.053952116352256</v>
      </c>
      <c r="B36" s="272" t="s">
        <v>419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6"/>
      <c r="S36" s="137">
        <f>K6/25.4</f>
        <v>2.3622047244094491</v>
      </c>
      <c r="T36" s="323">
        <f>(Z$33*(S36)^2)+(Z$34*(S36)^1)+(Z$35)</f>
        <v>12.299125798251598</v>
      </c>
      <c r="U36" s="323">
        <f>T36*2</f>
        <v>24.598251596503196</v>
      </c>
      <c r="V36" s="1" t="s">
        <v>426</v>
      </c>
      <c r="W36" s="1" t="s">
        <v>429</v>
      </c>
      <c r="X36" s="1" t="s">
        <v>430</v>
      </c>
      <c r="Y36" s="1" t="s">
        <v>431</v>
      </c>
      <c r="Z36" s="321"/>
    </row>
    <row r="37" spans="1:26" ht="20.100000000000001" customHeight="1" x14ac:dyDescent="0.25">
      <c r="A37" s="26"/>
      <c r="B37" s="47"/>
      <c r="C37" s="275" t="s">
        <v>417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8"/>
      <c r="O37" s="227"/>
      <c r="P37" s="228"/>
      <c r="R37" s="229"/>
      <c r="S37" s="137">
        <f>K7/25.4</f>
        <v>4.7244094488188981</v>
      </c>
      <c r="T37" s="323">
        <f>(Z$33*(S37)^2)+(Z$34*(S37)^1)+(Z$35)</f>
        <v>21.313038626077262</v>
      </c>
      <c r="U37" s="323">
        <f t="shared" ref="U37:U40" si="0">T37*2</f>
        <v>42.626077252154523</v>
      </c>
      <c r="V37" s="1">
        <v>3</v>
      </c>
      <c r="W37" s="1">
        <v>21.9</v>
      </c>
      <c r="X37" s="1">
        <v>8.5</v>
      </c>
      <c r="Y37" s="1">
        <f>W37-X37</f>
        <v>13.399999999999999</v>
      </c>
      <c r="Z37" s="324">
        <f>(Z$33*(V37)^2)+(Z$34*(V37)^1)+(Z$35)</f>
        <v>13.401000000000002</v>
      </c>
    </row>
    <row r="38" spans="1:26" ht="20.100000000000001" customHeight="1" x14ac:dyDescent="0.25">
      <c r="B38" s="227"/>
      <c r="C38" s="228"/>
      <c r="E38" s="229"/>
      <c r="F38" s="106"/>
      <c r="G38" s="106"/>
      <c r="I38" s="228"/>
      <c r="J38" s="106"/>
      <c r="S38" s="137">
        <f>K8/25.4</f>
        <v>7.0866141732283472</v>
      </c>
      <c r="T38" s="323">
        <f>(Z$33*(S38)^2)+(Z$34*(S38)^1)+(Z$35)</f>
        <v>43.841738483476973</v>
      </c>
      <c r="U38" s="323">
        <f t="shared" si="0"/>
        <v>87.683476966953947</v>
      </c>
      <c r="V38" s="1">
        <v>6</v>
      </c>
      <c r="W38" s="1">
        <v>46.1</v>
      </c>
      <c r="X38" s="1">
        <v>14.3</v>
      </c>
      <c r="Y38" s="1">
        <f t="shared" ref="Y38:Y39" si="1">W38-X38</f>
        <v>31.8</v>
      </c>
      <c r="Z38" s="324">
        <f>(Z$33*(V38)^2)+(Z$34*(V38)^1)+(Z$35)</f>
        <v>31.800000000000004</v>
      </c>
    </row>
    <row r="39" spans="1:26" ht="15.75" thickBot="1" x14ac:dyDescent="0.3">
      <c r="S39" s="137">
        <f>K9/25.4</f>
        <v>9.4488188976377963</v>
      </c>
      <c r="T39" s="323">
        <f>(Z$33*(S39)^2)+(Z$34*(S39)^1)+(Z$35)</f>
        <v>79.885225370450783</v>
      </c>
      <c r="U39" s="323">
        <f t="shared" si="0"/>
        <v>159.77045074090157</v>
      </c>
      <c r="V39" s="1">
        <v>9</v>
      </c>
      <c r="W39" s="1">
        <v>91.7</v>
      </c>
      <c r="X39" s="1">
        <v>19.7</v>
      </c>
      <c r="Y39" s="1">
        <f t="shared" si="1"/>
        <v>72</v>
      </c>
      <c r="Z39" s="324">
        <f>(Z$33*(V39)^2)+(Z$34*(V39)^1)+(Z$35)</f>
        <v>71.997000000000014</v>
      </c>
    </row>
    <row r="40" spans="1:26" x14ac:dyDescent="0.25">
      <c r="A40" s="217" t="s">
        <v>422</v>
      </c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20"/>
      <c r="S40" s="325">
        <f>K10/25.4</f>
        <v>10.236220472440946</v>
      </c>
      <c r="T40" s="326">
        <f>(Z$33*(S40)^2)+(Z$34*(S40)^1)+(Z$35)</f>
        <v>94.90300700601405</v>
      </c>
      <c r="U40" s="326">
        <f t="shared" si="0"/>
        <v>189.8060140120281</v>
      </c>
      <c r="V40" s="47"/>
      <c r="W40" s="47"/>
      <c r="X40" s="47"/>
      <c r="Y40" s="47"/>
      <c r="Z40" s="48"/>
    </row>
    <row r="41" spans="1:26" x14ac:dyDescent="0.25">
      <c r="A41" s="263">
        <f>(14.7*(F18/(F18-(F4/10)*F16))^F22-14.7)*F16*0.155</f>
        <v>43.053952116352256</v>
      </c>
      <c r="F41" s="230" t="s">
        <v>368</v>
      </c>
      <c r="Q41" s="222"/>
      <c r="S41" s="24"/>
      <c r="Z41" s="25"/>
    </row>
    <row r="42" spans="1:26" x14ac:dyDescent="0.25">
      <c r="A42" s="231" t="s">
        <v>420</v>
      </c>
      <c r="Q42" s="222"/>
      <c r="S42" s="24"/>
      <c r="Z42" s="25"/>
    </row>
    <row r="43" spans="1:26" x14ac:dyDescent="0.25">
      <c r="A43" s="221"/>
      <c r="B43" s="228" t="s">
        <v>418</v>
      </c>
      <c r="Q43" s="222"/>
      <c r="S43" s="24"/>
      <c r="Z43" s="25"/>
    </row>
    <row r="44" spans="1:26" x14ac:dyDescent="0.25">
      <c r="A44" s="221"/>
      <c r="B44" s="60"/>
      <c r="C44" s="60"/>
      <c r="D44" s="266" t="s">
        <v>421</v>
      </c>
      <c r="E44" s="266"/>
      <c r="F44" s="266"/>
      <c r="G44" s="266"/>
      <c r="H44" s="266"/>
      <c r="I44" s="266"/>
      <c r="J44" s="266"/>
      <c r="K44" s="266"/>
      <c r="L44" s="266"/>
      <c r="M44" s="266"/>
      <c r="N44" s="266"/>
      <c r="O44" s="266"/>
      <c r="Q44" s="222"/>
      <c r="S44" s="24"/>
      <c r="Z44" s="25"/>
    </row>
    <row r="45" spans="1:26" ht="15.75" thickBot="1" x14ac:dyDescent="0.3">
      <c r="A45" s="232"/>
      <c r="B45" s="233"/>
      <c r="C45" s="233"/>
      <c r="D45" s="267"/>
      <c r="E45" s="268"/>
      <c r="F45" s="269"/>
      <c r="G45" s="267"/>
      <c r="H45" s="267"/>
      <c r="I45" s="268"/>
      <c r="J45" s="269"/>
      <c r="K45" s="267"/>
      <c r="L45" s="268"/>
      <c r="M45" s="233"/>
      <c r="N45" s="233"/>
      <c r="O45" s="233"/>
      <c r="P45" s="233"/>
      <c r="Q45" s="234"/>
      <c r="S45" s="24"/>
      <c r="Z45" s="25"/>
    </row>
    <row r="46" spans="1:26" ht="15.75" thickBot="1" x14ac:dyDescent="0.3">
      <c r="S46" s="24"/>
      <c r="Z46" s="25"/>
    </row>
    <row r="47" spans="1:26" x14ac:dyDescent="0.25">
      <c r="A47" s="264">
        <f>(F18-(F4/10)*F16)</f>
        <v>311.92864446087424</v>
      </c>
      <c r="B47" s="219"/>
      <c r="C47" s="219"/>
      <c r="D47" s="219"/>
      <c r="E47" s="219"/>
      <c r="F47" s="219"/>
      <c r="G47" s="265" t="s">
        <v>368</v>
      </c>
      <c r="H47" s="219"/>
      <c r="I47" s="220"/>
      <c r="S47" s="24"/>
      <c r="Z47" s="25"/>
    </row>
    <row r="48" spans="1:26" x14ac:dyDescent="0.25">
      <c r="A48" s="221"/>
      <c r="E48" s="15" t="s">
        <v>373</v>
      </c>
      <c r="I48" s="222"/>
      <c r="S48" s="24"/>
      <c r="Z48" s="25"/>
    </row>
    <row r="49" spans="1:26" ht="15.75" thickBot="1" x14ac:dyDescent="0.3">
      <c r="A49" s="232"/>
      <c r="B49" s="233"/>
      <c r="C49" s="233"/>
      <c r="D49" s="233"/>
      <c r="E49" s="233"/>
      <c r="F49" s="233"/>
      <c r="G49" s="233"/>
      <c r="H49" s="233"/>
      <c r="I49" s="234"/>
      <c r="S49" s="24"/>
      <c r="Z49" s="25"/>
    </row>
    <row r="50" spans="1:26" x14ac:dyDescent="0.25">
      <c r="S50" s="24"/>
      <c r="Z50" s="25"/>
    </row>
    <row r="51" spans="1:26" x14ac:dyDescent="0.25">
      <c r="B51" s="15"/>
      <c r="S51" s="24"/>
      <c r="Z51" s="25"/>
    </row>
    <row r="52" spans="1:26" x14ac:dyDescent="0.25">
      <c r="A52" s="227">
        <v>14.7</v>
      </c>
      <c r="B52" s="228" t="s">
        <v>367</v>
      </c>
      <c r="D52" s="228" t="s">
        <v>370</v>
      </c>
      <c r="E52" s="228" t="s">
        <v>371</v>
      </c>
      <c r="G52" s="229" t="s">
        <v>374</v>
      </c>
      <c r="H52" s="106" t="s">
        <v>372</v>
      </c>
      <c r="I52" s="106">
        <v>14.7</v>
      </c>
      <c r="K52" s="230" t="s">
        <v>374</v>
      </c>
      <c r="L52" s="106" t="s">
        <v>369</v>
      </c>
      <c r="S52" s="24"/>
      <c r="Z52" s="25"/>
    </row>
    <row r="53" spans="1:26" x14ac:dyDescent="0.25">
      <c r="C53" s="16"/>
      <c r="D53" s="16"/>
      <c r="E53" s="16"/>
      <c r="F53" s="16"/>
      <c r="G53" s="16"/>
      <c r="S53" s="24"/>
      <c r="Z53" s="25"/>
    </row>
    <row r="54" spans="1:26" x14ac:dyDescent="0.25">
      <c r="S54" s="24"/>
      <c r="Z54" s="25"/>
    </row>
    <row r="55" spans="1:26" x14ac:dyDescent="0.25">
      <c r="S55" s="24"/>
      <c r="Z55" s="25"/>
    </row>
    <row r="56" spans="1:26" x14ac:dyDescent="0.25">
      <c r="S56" s="26"/>
      <c r="T56" s="47"/>
      <c r="U56" s="47"/>
      <c r="V56" s="47"/>
      <c r="W56" s="47"/>
      <c r="X56" s="47"/>
      <c r="Y56" s="47"/>
      <c r="Z56" s="4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new</vt:lpstr>
      <vt:lpstr>heat_new</vt:lpstr>
      <vt:lpstr>eql_tr_charts_new</vt:lpstr>
      <vt:lpstr>eql_tr_charts_old</vt:lpstr>
      <vt:lpstr>Shk_Fwhl</vt:lpstr>
      <vt:lpstr>Shk_Sag</vt:lpstr>
      <vt:lpstr>Fk_Fspr_Sag_bu</vt:lpstr>
      <vt:lpstr>Fk_Fspr_Sag</vt:lpstr>
      <vt:lpstr>Fk_Fgas_DFF_Sherco</vt:lpstr>
      <vt:lpstr>Fk_Fics_KYB</vt:lpstr>
      <vt:lpstr>Fk_Fgas_DFF_KYB</vt:lpstr>
      <vt:lpstr>Fk_Fgas_DFF_Showa</vt:lpstr>
      <vt:lpstr>Fk_Fgas_SFF</vt:lpstr>
      <vt:lpstr>Fk_Fics_AER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cqm</dc:creator>
  <cp:lastModifiedBy>Kevin</cp:lastModifiedBy>
  <dcterms:created xsi:type="dcterms:W3CDTF">2015-06-05T18:17:20Z</dcterms:created>
  <dcterms:modified xsi:type="dcterms:W3CDTF">2023-02-22T23:21:38Z</dcterms:modified>
</cp:coreProperties>
</file>