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8.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9.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0.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style5.xml" ContentType="application/vnd.ms-office.chartstyle+xml"/>
  <Override PartName="/xl/charts/colors5.xml" ContentType="application/vnd.ms-office.chartcolorstyle+xml"/>
  <Override PartName="/xl/charts/chart9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18.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1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20.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2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C:\wamp\jaguar_vdb\vdb2\vdb\excel\"/>
    </mc:Choice>
  </mc:AlternateContent>
  <xr:revisionPtr revIDLastSave="0" documentId="13_ncr:1_{EC12DD43-0FC7-4066-B781-8592B7764066}" xr6:coauthVersionLast="47" xr6:coauthVersionMax="47" xr10:uidLastSave="{00000000-0000-0000-0000-000000000000}"/>
  <bookViews>
    <workbookView xWindow="-120" yWindow="-120" windowWidth="24240" windowHeight="13140" tabRatio="854" firstSheet="8" activeTab="10" xr2:uid="{00000000-000D-0000-FFFF-FFFF00000000}"/>
  </bookViews>
  <sheets>
    <sheet name="czeta_bkwd_3075s_actual_v1" sheetId="23" r:id="rId1"/>
    <sheet name="czeta_bkwd_3075s_trend_v2" sheetId="17" r:id="rId2"/>
    <sheet name="czeta_bkwd_3075s_trend_v3" sheetId="24" r:id="rId3"/>
    <sheet name="czeta_bkwd_3075s_v7" sheetId="34" r:id="rId4"/>
    <sheet name="czeta_bkwd_3075s_v8" sheetId="45" r:id="rId5"/>
    <sheet name="czeta_bkwd_3171_3304_aver_v9" sheetId="35" r:id="rId6"/>
    <sheet name="czeta_bkwd_3514s_id13_g" sheetId="39" r:id="rId7"/>
    <sheet name="czeta_bkwd_3171s_id8_b" sheetId="28" r:id="rId8"/>
    <sheet name="czeta_bkwd_3304s_id9_b" sheetId="33" r:id="rId9"/>
    <sheet name="czeta_bkwd_3423s_id12_f" sheetId="38" r:id="rId10"/>
    <sheet name="czeta_bkwd_3694s_1of5" sheetId="52" r:id="rId11"/>
    <sheet name="czeta_bkwd_3694s_2of5" sheetId="49" r:id="rId12"/>
    <sheet name="czeta_bkwd_3694s_3of5" sheetId="50" r:id="rId13"/>
    <sheet name="czeta_bkwd_3694s_4of5" sheetId="48" r:id="rId14"/>
    <sheet name="czeta_bkwd_3694s_5of5" sheetId="51" r:id="rId15"/>
    <sheet name="czeta_bkwd_3694s_id14_g (3)" sheetId="47" r:id="rId16"/>
    <sheet name="czeta_bkwd_3694s_id14_g (2)" sheetId="46" r:id="rId17"/>
    <sheet name="czeta_bkwd_3694s_id14_g" sheetId="41" r:id="rId18"/>
    <sheet name="czeta_bkwd_3694s_id15_h" sheetId="42" r:id="rId19"/>
    <sheet name="czeta_bkwd_3694s_id16_i" sheetId="43" r:id="rId20"/>
    <sheet name="czeta_tweak" sheetId="36" r:id="rId21"/>
    <sheet name="Sheet1" sheetId="37" r:id="rId22"/>
  </sheets>
  <definedNames>
    <definedName name="_xlnm.Print_Area" localSheetId="0">czeta_bkwd_3075s_actual_v1!$V$2:$AG$13</definedName>
    <definedName name="_xlnm.Print_Area" localSheetId="1">czeta_bkwd_3075s_trend_v2!$A$217:$P$246</definedName>
    <definedName name="_xlnm.Print_Area" localSheetId="2">czeta_bkwd_3075s_trend_v3!$A$217:$P$246</definedName>
    <definedName name="_xlnm.Print_Area" localSheetId="3">czeta_bkwd_3075s_v7!$A$217:$P$250</definedName>
    <definedName name="_xlnm.Print_Area" localSheetId="4">czeta_bkwd_3075s_v8!$A$273:$P$314</definedName>
    <definedName name="_xlnm.Print_Area" localSheetId="5">czeta_bkwd_3171_3304_aver_v9!$A$217:$P$250</definedName>
    <definedName name="_xlnm.Print_Area" localSheetId="7">czeta_bkwd_3171s_id8_b!$A$273:$P$310</definedName>
    <definedName name="_xlnm.Print_Area" localSheetId="8">czeta_bkwd_3304s_id9_b!$A$273:$P$310</definedName>
    <definedName name="_xlnm.Print_Area" localSheetId="9">czeta_bkwd_3423s_id12_f!$A$273:$P$310</definedName>
    <definedName name="_xlnm.Print_Area" localSheetId="6">czeta_bkwd_3514s_id13_g!$A$273:$P$310</definedName>
    <definedName name="_xlnm.Print_Area" localSheetId="10">czeta_bkwd_3694s_1of5!$A$273:$P$314</definedName>
    <definedName name="_xlnm.Print_Area" localSheetId="11">czeta_bkwd_3694s_2of5!$A$273:$P$314</definedName>
    <definedName name="_xlnm.Print_Area" localSheetId="12">czeta_bkwd_3694s_3of5!$A$273:$P$314</definedName>
    <definedName name="_xlnm.Print_Area" localSheetId="13">czeta_bkwd_3694s_4of5!$A$273:$P$314</definedName>
    <definedName name="_xlnm.Print_Area" localSheetId="14">czeta_bkwd_3694s_5of5!$A$273:$P$314</definedName>
    <definedName name="_xlnm.Print_Area" localSheetId="17">czeta_bkwd_3694s_id14_g!$A$273:$P$314</definedName>
    <definedName name="_xlnm.Print_Area" localSheetId="16">'czeta_bkwd_3694s_id14_g (2)'!$A$273:$P$314</definedName>
    <definedName name="_xlnm.Print_Area" localSheetId="15">'czeta_bkwd_3694s_id14_g (3)'!$A$273:$P$314</definedName>
    <definedName name="_xlnm.Print_Area" localSheetId="18">czeta_bkwd_3694s_id15_h!$A$273:$P$314</definedName>
    <definedName name="_xlnm.Print_Area" localSheetId="19">czeta_bkwd_3694s_id16_i!$A$273:$P$314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97" i="52" l="1"/>
  <c r="P297" i="52" s="1"/>
  <c r="J297" i="52"/>
  <c r="L296" i="52"/>
  <c r="P296" i="52" s="1"/>
  <c r="J296" i="52"/>
  <c r="H296" i="52"/>
  <c r="L295" i="52"/>
  <c r="P295" i="52" s="1"/>
  <c r="J295" i="52"/>
  <c r="L294" i="52"/>
  <c r="P294" i="52" s="1"/>
  <c r="L293" i="52"/>
  <c r="P293" i="52" s="1"/>
  <c r="I293" i="52"/>
  <c r="H293" i="52"/>
  <c r="L292" i="52"/>
  <c r="P292" i="52" s="1"/>
  <c r="P291" i="52"/>
  <c r="L291" i="52"/>
  <c r="I291" i="52"/>
  <c r="L290" i="52"/>
  <c r="P290" i="52" s="1"/>
  <c r="L289" i="52"/>
  <c r="P289" i="52" s="1"/>
  <c r="I289" i="52"/>
  <c r="L288" i="52"/>
  <c r="P288" i="52" s="1"/>
  <c r="J288" i="52"/>
  <c r="B285" i="52"/>
  <c r="I283" i="52"/>
  <c r="C282" i="52"/>
  <c r="D281" i="52"/>
  <c r="C281" i="52"/>
  <c r="B281" i="52"/>
  <c r="D280" i="52"/>
  <c r="B280" i="52"/>
  <c r="E279" i="52"/>
  <c r="B279" i="52"/>
  <c r="E278" i="52"/>
  <c r="B278" i="52"/>
  <c r="B277" i="52"/>
  <c r="Q266" i="52"/>
  <c r="L266" i="52"/>
  <c r="N266" i="52" s="1"/>
  <c r="O266" i="52" s="1"/>
  <c r="R266" i="52" s="1"/>
  <c r="Q265" i="52"/>
  <c r="L265" i="52"/>
  <c r="F265" i="52"/>
  <c r="G265" i="52" s="1"/>
  <c r="H265" i="52" s="1"/>
  <c r="N296" i="52" s="1"/>
  <c r="Q264" i="52"/>
  <c r="L264" i="52"/>
  <c r="N264" i="52" s="1"/>
  <c r="O264" i="52" s="1"/>
  <c r="Q263" i="52"/>
  <c r="L263" i="52"/>
  <c r="Q262" i="52"/>
  <c r="L262" i="52"/>
  <c r="N262" i="52" s="1"/>
  <c r="O262" i="52" s="1"/>
  <c r="Q261" i="52"/>
  <c r="L261" i="52"/>
  <c r="F261" i="52"/>
  <c r="G261" i="52" s="1"/>
  <c r="H261" i="52" s="1"/>
  <c r="N292" i="52" s="1"/>
  <c r="Q260" i="52"/>
  <c r="L260" i="52"/>
  <c r="N260" i="52" s="1"/>
  <c r="O260" i="52" s="1"/>
  <c r="Q259" i="52"/>
  <c r="L259" i="52"/>
  <c r="Q258" i="52"/>
  <c r="L258" i="52"/>
  <c r="N258" i="52" s="1"/>
  <c r="O258" i="52" s="1"/>
  <c r="B258" i="52"/>
  <c r="Q257" i="52"/>
  <c r="L257" i="52"/>
  <c r="N257" i="52" s="1"/>
  <c r="O257" i="52" s="1"/>
  <c r="B257" i="52"/>
  <c r="M257" i="52" s="1"/>
  <c r="B256" i="52"/>
  <c r="R250" i="52"/>
  <c r="R249" i="52"/>
  <c r="R248" i="52"/>
  <c r="R247" i="52"/>
  <c r="R246" i="52"/>
  <c r="R245" i="52"/>
  <c r="R244" i="52"/>
  <c r="R243" i="52"/>
  <c r="R242" i="52"/>
  <c r="R241" i="52"/>
  <c r="L236" i="52"/>
  <c r="N236" i="52" s="1"/>
  <c r="O236" i="52" s="1"/>
  <c r="L235" i="52"/>
  <c r="N235" i="52" s="1"/>
  <c r="O235" i="52" s="1"/>
  <c r="L234" i="52"/>
  <c r="N234" i="52" s="1"/>
  <c r="O234" i="52" s="1"/>
  <c r="L233" i="52"/>
  <c r="L232" i="52"/>
  <c r="L231" i="52"/>
  <c r="L230" i="52"/>
  <c r="N230" i="52" s="1"/>
  <c r="O230" i="52" s="1"/>
  <c r="L229" i="52"/>
  <c r="N229" i="52" s="1"/>
  <c r="O229" i="52" s="1"/>
  <c r="L228" i="52"/>
  <c r="N228" i="52" s="1"/>
  <c r="O228" i="52" s="1"/>
  <c r="B228" i="52"/>
  <c r="L227" i="52"/>
  <c r="B227" i="52"/>
  <c r="M227" i="52" s="1"/>
  <c r="B226" i="52"/>
  <c r="S225" i="52"/>
  <c r="I214" i="52"/>
  <c r="M214" i="52" s="1"/>
  <c r="I213" i="52"/>
  <c r="M213" i="52" s="1"/>
  <c r="I212" i="52"/>
  <c r="M212" i="52" s="1"/>
  <c r="I211" i="52"/>
  <c r="M211" i="52" s="1"/>
  <c r="I210" i="52"/>
  <c r="M210" i="52" s="1"/>
  <c r="I209" i="52"/>
  <c r="M209" i="52" s="1"/>
  <c r="I207" i="52"/>
  <c r="M207" i="52" s="1"/>
  <c r="I206" i="52"/>
  <c r="M206" i="52" s="1"/>
  <c r="I205" i="52"/>
  <c r="M205" i="52" s="1"/>
  <c r="H205" i="52"/>
  <c r="I208" i="52" s="1"/>
  <c r="M208" i="52" s="1"/>
  <c r="R203" i="52"/>
  <c r="Q203" i="52"/>
  <c r="M194" i="52"/>
  <c r="I297" i="52" s="1"/>
  <c r="L194" i="52"/>
  <c r="I194" i="52"/>
  <c r="G194" i="52"/>
  <c r="S194" i="52" s="1"/>
  <c r="S193" i="52"/>
  <c r="M193" i="52"/>
  <c r="I296" i="52" s="1"/>
  <c r="L193" i="52"/>
  <c r="I193" i="52"/>
  <c r="G193" i="52"/>
  <c r="M192" i="52"/>
  <c r="I295" i="52" s="1"/>
  <c r="L192" i="52"/>
  <c r="I192" i="52"/>
  <c r="G192" i="52"/>
  <c r="H295" i="52" s="1"/>
  <c r="M191" i="52"/>
  <c r="I294" i="52" s="1"/>
  <c r="L191" i="52"/>
  <c r="J294" i="52" s="1"/>
  <c r="I191" i="52"/>
  <c r="G191" i="52"/>
  <c r="S191" i="52" s="1"/>
  <c r="M190" i="52"/>
  <c r="L190" i="52"/>
  <c r="J293" i="52" s="1"/>
  <c r="I190" i="52"/>
  <c r="G190" i="52"/>
  <c r="S190" i="52" s="1"/>
  <c r="M189" i="52"/>
  <c r="I292" i="52" s="1"/>
  <c r="L189" i="52"/>
  <c r="J292" i="52" s="1"/>
  <c r="I189" i="52"/>
  <c r="G189" i="52"/>
  <c r="H292" i="52" s="1"/>
  <c r="M188" i="52"/>
  <c r="L188" i="52"/>
  <c r="J291" i="52" s="1"/>
  <c r="I188" i="52"/>
  <c r="G188" i="52"/>
  <c r="H291" i="52" s="1"/>
  <c r="M187" i="52"/>
  <c r="I290" i="52" s="1"/>
  <c r="L187" i="52"/>
  <c r="J290" i="52" s="1"/>
  <c r="J187" i="52"/>
  <c r="J188" i="52" s="1"/>
  <c r="J189" i="52" s="1"/>
  <c r="J190" i="52" s="1"/>
  <c r="J191" i="52" s="1"/>
  <c r="J192" i="52" s="1"/>
  <c r="J193" i="52" s="1"/>
  <c r="J194" i="52" s="1"/>
  <c r="I187" i="52"/>
  <c r="G187" i="52"/>
  <c r="F259" i="52" s="1"/>
  <c r="G259" i="52" s="1"/>
  <c r="H259" i="52" s="1"/>
  <c r="N290" i="52" s="1"/>
  <c r="M186" i="52"/>
  <c r="L186" i="52"/>
  <c r="J289" i="52" s="1"/>
  <c r="J186" i="52"/>
  <c r="I186" i="52"/>
  <c r="G186" i="52"/>
  <c r="S186" i="52" s="1"/>
  <c r="M185" i="52"/>
  <c r="I288" i="52" s="1"/>
  <c r="L185" i="52"/>
  <c r="I185" i="52"/>
  <c r="G185" i="52"/>
  <c r="F257" i="52" s="1"/>
  <c r="G257" i="52" s="1"/>
  <c r="H257" i="52" s="1"/>
  <c r="N288" i="52" s="1"/>
  <c r="H182" i="52"/>
  <c r="I179" i="52"/>
  <c r="G166" i="52"/>
  <c r="H166" i="52" s="1"/>
  <c r="H165" i="52"/>
  <c r="G165" i="52"/>
  <c r="G164" i="52"/>
  <c r="H164" i="52" s="1"/>
  <c r="G163" i="52"/>
  <c r="H163" i="52" s="1"/>
  <c r="J162" i="52"/>
  <c r="H162" i="52"/>
  <c r="G162" i="52"/>
  <c r="Y161" i="52"/>
  <c r="G161" i="52"/>
  <c r="H161" i="52" s="1"/>
  <c r="G160" i="52"/>
  <c r="H160" i="52" s="1"/>
  <c r="J159" i="52"/>
  <c r="G159" i="52"/>
  <c r="H159" i="52" s="1"/>
  <c r="J158" i="52"/>
  <c r="H158" i="52"/>
  <c r="G158" i="52"/>
  <c r="Y157" i="52"/>
  <c r="G157" i="52"/>
  <c r="H157" i="52" s="1"/>
  <c r="J155" i="52"/>
  <c r="H284" i="52" s="1"/>
  <c r="E145" i="52"/>
  <c r="J143" i="52"/>
  <c r="D143" i="52"/>
  <c r="J142" i="52"/>
  <c r="D142" i="52"/>
  <c r="J141" i="52"/>
  <c r="D141" i="52"/>
  <c r="J140" i="52"/>
  <c r="D140" i="52"/>
  <c r="J139" i="52"/>
  <c r="D139" i="52"/>
  <c r="J138" i="52"/>
  <c r="D138" i="52"/>
  <c r="J137" i="52"/>
  <c r="D137" i="52"/>
  <c r="E128" i="52" s="1"/>
  <c r="J136" i="52"/>
  <c r="D136" i="52"/>
  <c r="J135" i="52"/>
  <c r="D135" i="52"/>
  <c r="J134" i="52"/>
  <c r="D134" i="52"/>
  <c r="E127" i="52" a="1"/>
  <c r="E127" i="52" s="1"/>
  <c r="F126" i="52"/>
  <c r="E117" i="52"/>
  <c r="E116" i="52"/>
  <c r="E115" i="52"/>
  <c r="E114" i="52"/>
  <c r="E113" i="52"/>
  <c r="E112" i="52"/>
  <c r="E111" i="52"/>
  <c r="E110" i="52"/>
  <c r="E109" i="52"/>
  <c r="I80" i="52"/>
  <c r="I79" i="52"/>
  <c r="H79" i="52"/>
  <c r="F79" i="52"/>
  <c r="I78" i="52"/>
  <c r="G78" i="52"/>
  <c r="C78" i="52"/>
  <c r="I77" i="52"/>
  <c r="I76" i="52"/>
  <c r="D76" i="52"/>
  <c r="C76" i="52"/>
  <c r="I75" i="52"/>
  <c r="H75" i="52"/>
  <c r="G75" i="52"/>
  <c r="D75" i="52"/>
  <c r="I74" i="52"/>
  <c r="C74" i="52"/>
  <c r="I73" i="52"/>
  <c r="F73" i="52"/>
  <c r="E73" i="52"/>
  <c r="I72" i="52"/>
  <c r="I71" i="52"/>
  <c r="H71" i="52"/>
  <c r="G71" i="52"/>
  <c r="D71" i="52"/>
  <c r="C71" i="52"/>
  <c r="T68" i="52"/>
  <c r="R68" i="52"/>
  <c r="P68" i="52"/>
  <c r="N68" i="52"/>
  <c r="L68" i="52"/>
  <c r="C68" i="52"/>
  <c r="C80" i="52" s="1"/>
  <c r="T67" i="52"/>
  <c r="R67" i="52"/>
  <c r="P67" i="52"/>
  <c r="N67" i="52"/>
  <c r="L67" i="52"/>
  <c r="H67" i="52"/>
  <c r="F67" i="52"/>
  <c r="D67" i="52"/>
  <c r="D79" i="52" s="1"/>
  <c r="C67" i="52"/>
  <c r="G67" i="52" s="1"/>
  <c r="G79" i="52" s="1"/>
  <c r="T66" i="52"/>
  <c r="R66" i="52"/>
  <c r="P66" i="52"/>
  <c r="N66" i="52"/>
  <c r="L66" i="52"/>
  <c r="H66" i="52"/>
  <c r="H78" i="52" s="1"/>
  <c r="G66" i="52"/>
  <c r="E66" i="52"/>
  <c r="E78" i="52" s="1"/>
  <c r="D66" i="52"/>
  <c r="D78" i="52" s="1"/>
  <c r="C66" i="52"/>
  <c r="J164" i="52" s="1"/>
  <c r="T65" i="52"/>
  <c r="R65" i="52"/>
  <c r="P65" i="52"/>
  <c r="N65" i="52"/>
  <c r="L65" i="52"/>
  <c r="C65" i="52"/>
  <c r="C77" i="52" s="1"/>
  <c r="T64" i="52"/>
  <c r="R64" i="52"/>
  <c r="P64" i="52"/>
  <c r="N64" i="52"/>
  <c r="L64" i="52"/>
  <c r="G64" i="52"/>
  <c r="G76" i="52" s="1"/>
  <c r="E64" i="52"/>
  <c r="E76" i="52" s="1"/>
  <c r="D64" i="52"/>
  <c r="C64" i="52"/>
  <c r="H64" i="52" s="1"/>
  <c r="H76" i="52" s="1"/>
  <c r="T63" i="52"/>
  <c r="R63" i="52"/>
  <c r="P63" i="52"/>
  <c r="N63" i="52"/>
  <c r="L63" i="52"/>
  <c r="H63" i="52"/>
  <c r="G63" i="52"/>
  <c r="F63" i="52"/>
  <c r="F75" i="52" s="1"/>
  <c r="E63" i="52"/>
  <c r="E75" i="52" s="1"/>
  <c r="D63" i="52"/>
  <c r="C63" i="52"/>
  <c r="C75" i="52" s="1"/>
  <c r="T62" i="52"/>
  <c r="R62" i="52"/>
  <c r="P62" i="52"/>
  <c r="N62" i="52"/>
  <c r="L62" i="52"/>
  <c r="E62" i="52"/>
  <c r="E74" i="52" s="1"/>
  <c r="D62" i="52"/>
  <c r="D74" i="52" s="1"/>
  <c r="C62" i="52"/>
  <c r="J160" i="52" s="1"/>
  <c r="T61" i="52"/>
  <c r="R61" i="52"/>
  <c r="P61" i="52"/>
  <c r="N61" i="52"/>
  <c r="L61" i="52"/>
  <c r="H61" i="52"/>
  <c r="H73" i="52" s="1"/>
  <c r="F61" i="52"/>
  <c r="E61" i="52"/>
  <c r="C61" i="52"/>
  <c r="C73" i="52" s="1"/>
  <c r="T60" i="52"/>
  <c r="R60" i="52"/>
  <c r="P60" i="52"/>
  <c r="N60" i="52"/>
  <c r="L60" i="52"/>
  <c r="G60" i="52"/>
  <c r="G72" i="52" s="1"/>
  <c r="F60" i="52"/>
  <c r="F72" i="52" s="1"/>
  <c r="C60" i="52"/>
  <c r="E60" i="52" s="1"/>
  <c r="E72" i="52" s="1"/>
  <c r="T59" i="52"/>
  <c r="R59" i="52"/>
  <c r="P59" i="52"/>
  <c r="N59" i="52"/>
  <c r="L59" i="52"/>
  <c r="H59" i="52"/>
  <c r="G59" i="52"/>
  <c r="F59" i="52"/>
  <c r="F71" i="52" s="1"/>
  <c r="E59" i="52"/>
  <c r="E71" i="52" s="1"/>
  <c r="D59" i="52"/>
  <c r="C59" i="52"/>
  <c r="J157" i="52" s="1"/>
  <c r="W47" i="52"/>
  <c r="Y46" i="52"/>
  <c r="W46" i="52"/>
  <c r="W45" i="52"/>
  <c r="X40" i="52"/>
  <c r="W40" i="52"/>
  <c r="X39" i="52"/>
  <c r="W39" i="52"/>
  <c r="F39" i="52"/>
  <c r="E39" i="52"/>
  <c r="X38" i="52"/>
  <c r="W38" i="52"/>
  <c r="F38" i="52"/>
  <c r="E38" i="52"/>
  <c r="F37" i="52"/>
  <c r="E37" i="52"/>
  <c r="F36" i="52"/>
  <c r="E36" i="52"/>
  <c r="F35" i="52"/>
  <c r="E35" i="52"/>
  <c r="AA34" i="52"/>
  <c r="F34" i="52"/>
  <c r="E34" i="52"/>
  <c r="F33" i="52"/>
  <c r="E33" i="52"/>
  <c r="X32" i="52"/>
  <c r="U32" i="52"/>
  <c r="AA32" i="52" s="1"/>
  <c r="F32" i="52"/>
  <c r="E32" i="52"/>
  <c r="F31" i="52"/>
  <c r="E31" i="52"/>
  <c r="F30" i="52"/>
  <c r="E30" i="52"/>
  <c r="D20" i="52"/>
  <c r="C20" i="52"/>
  <c r="R13" i="52"/>
  <c r="Q10" i="52"/>
  <c r="P10" i="52"/>
  <c r="I86" i="51"/>
  <c r="I87" i="51"/>
  <c r="I88" i="51"/>
  <c r="I89" i="51"/>
  <c r="I90" i="51"/>
  <c r="I91" i="51"/>
  <c r="I92" i="51"/>
  <c r="I93" i="51"/>
  <c r="I94" i="51"/>
  <c r="K86" i="51"/>
  <c r="K87" i="51"/>
  <c r="K88" i="51"/>
  <c r="K89" i="51"/>
  <c r="K90" i="51"/>
  <c r="K91" i="51"/>
  <c r="K92" i="51"/>
  <c r="K93" i="51"/>
  <c r="K94" i="51"/>
  <c r="K85" i="51"/>
  <c r="I85" i="51"/>
  <c r="G86" i="51"/>
  <c r="G87" i="51"/>
  <c r="G88" i="51"/>
  <c r="G89" i="51"/>
  <c r="G90" i="51"/>
  <c r="G91" i="51"/>
  <c r="G92" i="51"/>
  <c r="G93" i="51"/>
  <c r="G94" i="51"/>
  <c r="G85" i="51"/>
  <c r="D86" i="51"/>
  <c r="D87" i="51"/>
  <c r="D88" i="51"/>
  <c r="D89" i="51"/>
  <c r="D90" i="51"/>
  <c r="D91" i="51"/>
  <c r="D92" i="51"/>
  <c r="D93" i="51"/>
  <c r="D94" i="51"/>
  <c r="D85" i="51"/>
  <c r="N92" i="51"/>
  <c r="N93" i="51"/>
  <c r="N94" i="51"/>
  <c r="N95" i="51"/>
  <c r="N91" i="51"/>
  <c r="N89" i="51" a="1"/>
  <c r="N89" i="51" s="1"/>
  <c r="N88" i="51" a="1"/>
  <c r="N88" i="51" s="1"/>
  <c r="F94" i="51"/>
  <c r="F93" i="51"/>
  <c r="F92" i="51"/>
  <c r="F91" i="51"/>
  <c r="F90" i="51"/>
  <c r="F89" i="51"/>
  <c r="F88" i="51"/>
  <c r="F87" i="51"/>
  <c r="F86" i="51"/>
  <c r="F85" i="51"/>
  <c r="L297" i="51"/>
  <c r="P297" i="51" s="1"/>
  <c r="L296" i="51"/>
  <c r="P296" i="51" s="1"/>
  <c r="L295" i="51"/>
  <c r="P295" i="51" s="1"/>
  <c r="J295" i="51"/>
  <c r="L294" i="51"/>
  <c r="P294" i="51" s="1"/>
  <c r="L293" i="51"/>
  <c r="P293" i="51" s="1"/>
  <c r="I293" i="51"/>
  <c r="L292" i="51"/>
  <c r="P292" i="51" s="1"/>
  <c r="L291" i="51"/>
  <c r="P291" i="51" s="1"/>
  <c r="L290" i="51"/>
  <c r="P290" i="51" s="1"/>
  <c r="L289" i="51"/>
  <c r="P289" i="51" s="1"/>
  <c r="L288" i="51"/>
  <c r="P288" i="51" s="1"/>
  <c r="B285" i="51"/>
  <c r="I283" i="51"/>
  <c r="C282" i="51"/>
  <c r="D281" i="51"/>
  <c r="C281" i="51"/>
  <c r="B281" i="51"/>
  <c r="D280" i="51"/>
  <c r="B280" i="51"/>
  <c r="E279" i="51"/>
  <c r="B279" i="51"/>
  <c r="E278" i="51"/>
  <c r="B278" i="51"/>
  <c r="B277" i="51"/>
  <c r="Q266" i="51"/>
  <c r="L266" i="51"/>
  <c r="Q265" i="51"/>
  <c r="L265" i="51"/>
  <c r="Q264" i="51"/>
  <c r="L264" i="51"/>
  <c r="Q263" i="51"/>
  <c r="L263" i="51"/>
  <c r="Q262" i="51"/>
  <c r="L262" i="51"/>
  <c r="Q261" i="51"/>
  <c r="L261" i="51"/>
  <c r="Q260" i="51"/>
  <c r="L260" i="51"/>
  <c r="Q259" i="51"/>
  <c r="L259" i="51"/>
  <c r="Q258" i="51"/>
  <c r="L258" i="51"/>
  <c r="B258" i="51"/>
  <c r="Q257" i="51"/>
  <c r="L257" i="51"/>
  <c r="B257" i="51"/>
  <c r="M257" i="51" s="1"/>
  <c r="N257" i="51" s="1"/>
  <c r="O257" i="51" s="1"/>
  <c r="B256" i="51"/>
  <c r="R250" i="51"/>
  <c r="R249" i="51"/>
  <c r="R248" i="51"/>
  <c r="R247" i="51"/>
  <c r="R246" i="51"/>
  <c r="R245" i="51"/>
  <c r="R244" i="51"/>
  <c r="R243" i="51"/>
  <c r="R242" i="51"/>
  <c r="R241" i="51"/>
  <c r="L236" i="51"/>
  <c r="L235" i="51"/>
  <c r="L234" i="51"/>
  <c r="L233" i="51"/>
  <c r="L232" i="51"/>
  <c r="L231" i="51"/>
  <c r="L230" i="51"/>
  <c r="L229" i="51"/>
  <c r="L228" i="51"/>
  <c r="B228" i="51"/>
  <c r="M227" i="51"/>
  <c r="L227" i="51"/>
  <c r="B227" i="51"/>
  <c r="B226" i="51"/>
  <c r="I214" i="51"/>
  <c r="M214" i="51" s="1"/>
  <c r="I213" i="51"/>
  <c r="M213" i="51" s="1"/>
  <c r="I210" i="51"/>
  <c r="M210" i="51" s="1"/>
  <c r="H205" i="51"/>
  <c r="I208" i="51" s="1"/>
  <c r="M208" i="51" s="1"/>
  <c r="R203" i="51"/>
  <c r="Q203" i="51"/>
  <c r="M194" i="51"/>
  <c r="I297" i="51" s="1"/>
  <c r="L194" i="51"/>
  <c r="J297" i="51" s="1"/>
  <c r="I194" i="51"/>
  <c r="G194" i="51"/>
  <c r="S194" i="51" s="1"/>
  <c r="M193" i="51"/>
  <c r="I296" i="51" s="1"/>
  <c r="L193" i="51"/>
  <c r="J296" i="51" s="1"/>
  <c r="I193" i="51"/>
  <c r="G193" i="51"/>
  <c r="S193" i="51" s="1"/>
  <c r="M192" i="51"/>
  <c r="I295" i="51" s="1"/>
  <c r="L192" i="51"/>
  <c r="I192" i="51"/>
  <c r="G192" i="51"/>
  <c r="H295" i="51" s="1"/>
  <c r="M191" i="51"/>
  <c r="I294" i="51" s="1"/>
  <c r="L191" i="51"/>
  <c r="J294" i="51" s="1"/>
  <c r="I191" i="51"/>
  <c r="G191" i="51"/>
  <c r="H294" i="51" s="1"/>
  <c r="M190" i="51"/>
  <c r="L190" i="51"/>
  <c r="J293" i="51" s="1"/>
  <c r="I190" i="51"/>
  <c r="G190" i="51"/>
  <c r="S190" i="51" s="1"/>
  <c r="M189" i="51"/>
  <c r="I292" i="51" s="1"/>
  <c r="L189" i="51"/>
  <c r="J292" i="51" s="1"/>
  <c r="I189" i="51"/>
  <c r="G189" i="51"/>
  <c r="S189" i="51" s="1"/>
  <c r="M188" i="51"/>
  <c r="I291" i="51" s="1"/>
  <c r="L188" i="51"/>
  <c r="J291" i="51" s="1"/>
  <c r="I188" i="51"/>
  <c r="G188" i="51"/>
  <c r="H291" i="51" s="1"/>
  <c r="M187" i="51"/>
  <c r="I290" i="51" s="1"/>
  <c r="L187" i="51"/>
  <c r="J290" i="51" s="1"/>
  <c r="I187" i="51"/>
  <c r="G187" i="51"/>
  <c r="H290" i="51" s="1"/>
  <c r="M186" i="51"/>
  <c r="I289" i="51" s="1"/>
  <c r="L186" i="51"/>
  <c r="J289" i="51" s="1"/>
  <c r="J186" i="51"/>
  <c r="J187" i="51" s="1"/>
  <c r="J188" i="51" s="1"/>
  <c r="J189" i="51" s="1"/>
  <c r="J190" i="51" s="1"/>
  <c r="J191" i="51" s="1"/>
  <c r="J192" i="51" s="1"/>
  <c r="J193" i="51" s="1"/>
  <c r="J194" i="51" s="1"/>
  <c r="I186" i="51"/>
  <c r="G186" i="51"/>
  <c r="S186" i="51" s="1"/>
  <c r="M185" i="51"/>
  <c r="I288" i="51" s="1"/>
  <c r="L185" i="51"/>
  <c r="J288" i="51" s="1"/>
  <c r="I185" i="51"/>
  <c r="G185" i="51"/>
  <c r="H288" i="51" s="1"/>
  <c r="I179" i="51"/>
  <c r="G166" i="51"/>
  <c r="H166" i="51" s="1"/>
  <c r="G165" i="51"/>
  <c r="H165" i="51" s="1"/>
  <c r="G164" i="51"/>
  <c r="H164" i="51" s="1"/>
  <c r="G163" i="51"/>
  <c r="H163" i="51" s="1"/>
  <c r="G162" i="51"/>
  <c r="H162" i="51" s="1"/>
  <c r="Y161" i="51"/>
  <c r="G161" i="51"/>
  <c r="H161" i="51" s="1"/>
  <c r="G160" i="51"/>
  <c r="H160" i="51" s="1"/>
  <c r="G159" i="51"/>
  <c r="H159" i="51" s="1"/>
  <c r="H158" i="51"/>
  <c r="G158" i="51"/>
  <c r="Y157" i="51"/>
  <c r="G157" i="51"/>
  <c r="H157" i="51" s="1"/>
  <c r="J155" i="51"/>
  <c r="H284" i="51" s="1"/>
  <c r="J143" i="51"/>
  <c r="D143" i="51"/>
  <c r="J142" i="51"/>
  <c r="D142" i="51"/>
  <c r="J141" i="51"/>
  <c r="D141" i="51"/>
  <c r="J140" i="51"/>
  <c r="D140" i="51"/>
  <c r="F126" i="51" s="1"/>
  <c r="J139" i="51"/>
  <c r="D139" i="51"/>
  <c r="J138" i="51"/>
  <c r="D138" i="51"/>
  <c r="E145" i="51" s="1"/>
  <c r="J137" i="51"/>
  <c r="D137" i="51"/>
  <c r="E129" i="51" s="1"/>
  <c r="J136" i="51"/>
  <c r="D136" i="51"/>
  <c r="J135" i="51"/>
  <c r="D135" i="51"/>
  <c r="J134" i="51"/>
  <c r="D134" i="51"/>
  <c r="E117" i="51"/>
  <c r="E116" i="51"/>
  <c r="E115" i="51"/>
  <c r="E114" i="51"/>
  <c r="E113" i="51"/>
  <c r="E112" i="51"/>
  <c r="E111" i="51"/>
  <c r="E110" i="51"/>
  <c r="E109" i="51"/>
  <c r="I80" i="51"/>
  <c r="D80" i="51"/>
  <c r="C80" i="51"/>
  <c r="I79" i="51"/>
  <c r="I78" i="51"/>
  <c r="I77" i="51"/>
  <c r="I76" i="51"/>
  <c r="C76" i="51"/>
  <c r="I75" i="51"/>
  <c r="I74" i="51"/>
  <c r="I73" i="51"/>
  <c r="E73" i="51"/>
  <c r="I72" i="51"/>
  <c r="I71" i="51"/>
  <c r="T68" i="51"/>
  <c r="R68" i="51"/>
  <c r="P68" i="51"/>
  <c r="N68" i="51"/>
  <c r="L68" i="51"/>
  <c r="D68" i="51"/>
  <c r="C68" i="51"/>
  <c r="H68" i="51" s="1"/>
  <c r="H80" i="51" s="1"/>
  <c r="T67" i="51"/>
  <c r="R67" i="51"/>
  <c r="P67" i="51"/>
  <c r="N67" i="51"/>
  <c r="L67" i="51"/>
  <c r="H67" i="51"/>
  <c r="H79" i="51" s="1"/>
  <c r="D67" i="51"/>
  <c r="D79" i="51" s="1"/>
  <c r="C67" i="51"/>
  <c r="G67" i="51" s="1"/>
  <c r="G79" i="51" s="1"/>
  <c r="T66" i="51"/>
  <c r="R66" i="51"/>
  <c r="P66" i="51"/>
  <c r="N66" i="51"/>
  <c r="L66" i="51"/>
  <c r="D66" i="51"/>
  <c r="D78" i="51" s="1"/>
  <c r="C66" i="51"/>
  <c r="J164" i="51" s="1"/>
  <c r="T65" i="51"/>
  <c r="R65" i="51"/>
  <c r="P65" i="51"/>
  <c r="N65" i="51"/>
  <c r="L65" i="51"/>
  <c r="C65" i="51"/>
  <c r="E65" i="51" s="1"/>
  <c r="E77" i="51" s="1"/>
  <c r="T64" i="51"/>
  <c r="R64" i="51"/>
  <c r="P64" i="51"/>
  <c r="N64" i="51"/>
  <c r="L64" i="51"/>
  <c r="H64" i="51"/>
  <c r="H76" i="51" s="1"/>
  <c r="G64" i="51"/>
  <c r="G76" i="51" s="1"/>
  <c r="E64" i="51"/>
  <c r="E76" i="51" s="1"/>
  <c r="D64" i="51"/>
  <c r="D76" i="51" s="1"/>
  <c r="C64" i="51"/>
  <c r="F64" i="51" s="1"/>
  <c r="F76" i="51" s="1"/>
  <c r="T63" i="51"/>
  <c r="R63" i="51"/>
  <c r="P63" i="51"/>
  <c r="N63" i="51"/>
  <c r="L63" i="51"/>
  <c r="H63" i="51"/>
  <c r="H75" i="51" s="1"/>
  <c r="G63" i="51"/>
  <c r="G75" i="51" s="1"/>
  <c r="E63" i="51"/>
  <c r="E75" i="51" s="1"/>
  <c r="D63" i="51"/>
  <c r="D75" i="51" s="1"/>
  <c r="C63" i="51"/>
  <c r="C75" i="51" s="1"/>
  <c r="T62" i="51"/>
  <c r="R62" i="51"/>
  <c r="P62" i="51"/>
  <c r="N62" i="51"/>
  <c r="L62" i="51"/>
  <c r="C62" i="51"/>
  <c r="F62" i="51" s="1"/>
  <c r="F74" i="51" s="1"/>
  <c r="T61" i="51"/>
  <c r="R61" i="51"/>
  <c r="P61" i="51"/>
  <c r="N61" i="51"/>
  <c r="L61" i="51"/>
  <c r="F61" i="51"/>
  <c r="F73" i="51" s="1"/>
  <c r="E61" i="51"/>
  <c r="C61" i="51"/>
  <c r="G61" i="51" s="1"/>
  <c r="G73" i="51" s="1"/>
  <c r="T60" i="51"/>
  <c r="R60" i="51"/>
  <c r="P60" i="51"/>
  <c r="N60" i="51"/>
  <c r="L60" i="51"/>
  <c r="C60" i="51"/>
  <c r="D60" i="51" s="1"/>
  <c r="D72" i="51" s="1"/>
  <c r="T59" i="51"/>
  <c r="R59" i="51"/>
  <c r="P59" i="51"/>
  <c r="N59" i="51"/>
  <c r="L59" i="51"/>
  <c r="C59" i="51"/>
  <c r="H59" i="51" s="1"/>
  <c r="H71" i="51" s="1"/>
  <c r="W47" i="51"/>
  <c r="Y46" i="51"/>
  <c r="W46" i="51"/>
  <c r="W45" i="51"/>
  <c r="W40" i="51"/>
  <c r="X40" i="51" s="1"/>
  <c r="X39" i="51"/>
  <c r="W39" i="51"/>
  <c r="F39" i="51"/>
  <c r="E39" i="51"/>
  <c r="W38" i="51"/>
  <c r="X38" i="51" s="1"/>
  <c r="F38" i="51"/>
  <c r="E38" i="51"/>
  <c r="F37" i="51"/>
  <c r="E37" i="51"/>
  <c r="F36" i="51"/>
  <c r="E36" i="51"/>
  <c r="F35" i="51"/>
  <c r="E35" i="51"/>
  <c r="F34" i="51"/>
  <c r="E34" i="51"/>
  <c r="F33" i="51"/>
  <c r="E33" i="51"/>
  <c r="X32" i="51"/>
  <c r="U32" i="51"/>
  <c r="AA34" i="51" s="1"/>
  <c r="F32" i="51"/>
  <c r="E32" i="51"/>
  <c r="F31" i="51"/>
  <c r="E31" i="51"/>
  <c r="F30" i="51"/>
  <c r="E30" i="51"/>
  <c r="D20" i="51"/>
  <c r="C20" i="51"/>
  <c r="R13" i="51"/>
  <c r="Q10" i="51"/>
  <c r="P10" i="51"/>
  <c r="Q260" i="50"/>
  <c r="L297" i="50"/>
  <c r="P297" i="50" s="1"/>
  <c r="I297" i="50"/>
  <c r="L296" i="50"/>
  <c r="P296" i="50" s="1"/>
  <c r="L295" i="50"/>
  <c r="P295" i="50" s="1"/>
  <c r="J295" i="50"/>
  <c r="L294" i="50"/>
  <c r="P294" i="50" s="1"/>
  <c r="P293" i="50"/>
  <c r="L293" i="50"/>
  <c r="I293" i="50"/>
  <c r="L292" i="50"/>
  <c r="P292" i="50" s="1"/>
  <c r="L291" i="50"/>
  <c r="P291" i="50" s="1"/>
  <c r="I291" i="50"/>
  <c r="L290" i="50"/>
  <c r="P290" i="50" s="1"/>
  <c r="L289" i="50"/>
  <c r="P289" i="50" s="1"/>
  <c r="L288" i="50"/>
  <c r="P288" i="50" s="1"/>
  <c r="B285" i="50"/>
  <c r="I283" i="50"/>
  <c r="C282" i="50"/>
  <c r="D281" i="50"/>
  <c r="C281" i="50"/>
  <c r="B281" i="50"/>
  <c r="D280" i="50"/>
  <c r="B280" i="50"/>
  <c r="E279" i="50"/>
  <c r="B279" i="50"/>
  <c r="E278" i="50"/>
  <c r="B278" i="50"/>
  <c r="B277" i="50"/>
  <c r="Q266" i="50"/>
  <c r="L266" i="50"/>
  <c r="N266" i="50" s="1"/>
  <c r="O266" i="50" s="1"/>
  <c r="Q265" i="50"/>
  <c r="L265" i="50"/>
  <c r="N265" i="50" s="1"/>
  <c r="O265" i="50" s="1"/>
  <c r="F265" i="50"/>
  <c r="G265" i="50" s="1"/>
  <c r="H265" i="50" s="1"/>
  <c r="N296" i="50" s="1"/>
  <c r="Q264" i="50"/>
  <c r="L264" i="50"/>
  <c r="N264" i="50" s="1"/>
  <c r="O264" i="50" s="1"/>
  <c r="Q263" i="50"/>
  <c r="L263" i="50"/>
  <c r="N263" i="50" s="1"/>
  <c r="O263" i="50" s="1"/>
  <c r="Q262" i="50"/>
  <c r="L262" i="50"/>
  <c r="N262" i="50" s="1"/>
  <c r="O262" i="50" s="1"/>
  <c r="Q261" i="50"/>
  <c r="L261" i="50"/>
  <c r="N261" i="50" s="1"/>
  <c r="O261" i="50" s="1"/>
  <c r="F261" i="50"/>
  <c r="G261" i="50" s="1"/>
  <c r="H261" i="50" s="1"/>
  <c r="N292" i="50" s="1"/>
  <c r="L260" i="50"/>
  <c r="N260" i="50" s="1"/>
  <c r="O260" i="50" s="1"/>
  <c r="Q259" i="50"/>
  <c r="L259" i="50"/>
  <c r="N259" i="50" s="1"/>
  <c r="O259" i="50" s="1"/>
  <c r="Q258" i="50"/>
  <c r="L258" i="50"/>
  <c r="N258" i="50" s="1"/>
  <c r="O258" i="50" s="1"/>
  <c r="B258" i="50"/>
  <c r="Q257" i="50"/>
  <c r="M257" i="50"/>
  <c r="L257" i="50"/>
  <c r="B257" i="50"/>
  <c r="B256" i="50"/>
  <c r="R250" i="50"/>
  <c r="R249" i="50"/>
  <c r="R248" i="50"/>
  <c r="R247" i="50"/>
  <c r="R246" i="50"/>
  <c r="R245" i="50"/>
  <c r="R244" i="50"/>
  <c r="R243" i="50"/>
  <c r="R242" i="50"/>
  <c r="R241" i="50"/>
  <c r="L236" i="50"/>
  <c r="L235" i="50"/>
  <c r="N235" i="50" s="1"/>
  <c r="O235" i="50" s="1"/>
  <c r="L234" i="50"/>
  <c r="N234" i="50" s="1"/>
  <c r="O234" i="50" s="1"/>
  <c r="L233" i="50"/>
  <c r="N233" i="50" s="1"/>
  <c r="O233" i="50" s="1"/>
  <c r="L232" i="50"/>
  <c r="N232" i="50" s="1"/>
  <c r="O232" i="50" s="1"/>
  <c r="N231" i="50"/>
  <c r="O231" i="50" s="1"/>
  <c r="L231" i="50"/>
  <c r="L230" i="50"/>
  <c r="N230" i="50" s="1"/>
  <c r="O230" i="50" s="1"/>
  <c r="L229" i="50"/>
  <c r="N229" i="50" s="1"/>
  <c r="O229" i="50" s="1"/>
  <c r="L228" i="50"/>
  <c r="B228" i="50"/>
  <c r="M227" i="50"/>
  <c r="L227" i="50"/>
  <c r="N227" i="50" s="1"/>
  <c r="O227" i="50" s="1"/>
  <c r="B227" i="50"/>
  <c r="B226" i="50"/>
  <c r="N236" i="50" s="1"/>
  <c r="O236" i="50" s="1"/>
  <c r="I214" i="50"/>
  <c r="M214" i="50" s="1"/>
  <c r="I213" i="50"/>
  <c r="M213" i="50" s="1"/>
  <c r="I212" i="50"/>
  <c r="M212" i="50" s="1"/>
  <c r="I211" i="50"/>
  <c r="M211" i="50" s="1"/>
  <c r="I210" i="50"/>
  <c r="M210" i="50" s="1"/>
  <c r="I206" i="50"/>
  <c r="M206" i="50" s="1"/>
  <c r="H205" i="50"/>
  <c r="I205" i="50" s="1"/>
  <c r="M205" i="50" s="1"/>
  <c r="R203" i="50"/>
  <c r="Q203" i="50"/>
  <c r="M194" i="50"/>
  <c r="L194" i="50"/>
  <c r="J297" i="50" s="1"/>
  <c r="I194" i="50"/>
  <c r="G194" i="50"/>
  <c r="S194" i="50" s="1"/>
  <c r="M193" i="50"/>
  <c r="I296" i="50" s="1"/>
  <c r="L193" i="50"/>
  <c r="J296" i="50" s="1"/>
  <c r="I193" i="50"/>
  <c r="G193" i="50"/>
  <c r="S193" i="50" s="1"/>
  <c r="M192" i="50"/>
  <c r="I295" i="50" s="1"/>
  <c r="L192" i="50"/>
  <c r="I192" i="50"/>
  <c r="G192" i="50"/>
  <c r="H295" i="50" s="1"/>
  <c r="M191" i="50"/>
  <c r="I294" i="50" s="1"/>
  <c r="L191" i="50"/>
  <c r="J294" i="50" s="1"/>
  <c r="I191" i="50"/>
  <c r="G191" i="50"/>
  <c r="F263" i="50" s="1"/>
  <c r="G263" i="50" s="1"/>
  <c r="H263" i="50" s="1"/>
  <c r="N294" i="50" s="1"/>
  <c r="M190" i="50"/>
  <c r="L190" i="50"/>
  <c r="J293" i="50" s="1"/>
  <c r="I190" i="50"/>
  <c r="G190" i="50"/>
  <c r="S190" i="50" s="1"/>
  <c r="M189" i="50"/>
  <c r="I292" i="50" s="1"/>
  <c r="L189" i="50"/>
  <c r="J292" i="50" s="1"/>
  <c r="I189" i="50"/>
  <c r="G189" i="50"/>
  <c r="S189" i="50" s="1"/>
  <c r="M188" i="50"/>
  <c r="L188" i="50"/>
  <c r="J291" i="50" s="1"/>
  <c r="I188" i="50"/>
  <c r="G188" i="50"/>
  <c r="H291" i="50" s="1"/>
  <c r="M187" i="50"/>
  <c r="I290" i="50" s="1"/>
  <c r="L187" i="50"/>
  <c r="J290" i="50" s="1"/>
  <c r="I187" i="50"/>
  <c r="G187" i="50"/>
  <c r="F259" i="50" s="1"/>
  <c r="G259" i="50" s="1"/>
  <c r="H259" i="50" s="1"/>
  <c r="N290" i="50" s="1"/>
  <c r="M186" i="50"/>
  <c r="I289" i="50" s="1"/>
  <c r="L186" i="50"/>
  <c r="J289" i="50" s="1"/>
  <c r="J186" i="50"/>
  <c r="J187" i="50" s="1"/>
  <c r="J188" i="50" s="1"/>
  <c r="J189" i="50" s="1"/>
  <c r="J190" i="50" s="1"/>
  <c r="J191" i="50" s="1"/>
  <c r="J192" i="50" s="1"/>
  <c r="J193" i="50" s="1"/>
  <c r="J194" i="50" s="1"/>
  <c r="I186" i="50"/>
  <c r="G186" i="50"/>
  <c r="S186" i="50" s="1"/>
  <c r="M185" i="50"/>
  <c r="I288" i="50" s="1"/>
  <c r="L185" i="50"/>
  <c r="J288" i="50" s="1"/>
  <c r="I185" i="50"/>
  <c r="G185" i="50"/>
  <c r="H288" i="50" s="1"/>
  <c r="H182" i="50"/>
  <c r="I179" i="50"/>
  <c r="G166" i="50"/>
  <c r="H166" i="50" s="1"/>
  <c r="H165" i="50"/>
  <c r="G165" i="50"/>
  <c r="H164" i="50"/>
  <c r="G164" i="50"/>
  <c r="J163" i="50"/>
  <c r="G163" i="50"/>
  <c r="H163" i="50" s="1"/>
  <c r="G162" i="50"/>
  <c r="H162" i="50" s="1"/>
  <c r="Y161" i="50"/>
  <c r="G161" i="50"/>
  <c r="H161" i="50" s="1"/>
  <c r="H160" i="50"/>
  <c r="G160" i="50"/>
  <c r="J159" i="50"/>
  <c r="G159" i="50"/>
  <c r="H159" i="50" s="1"/>
  <c r="J158" i="50"/>
  <c r="G158" i="50"/>
  <c r="H158" i="50" s="1"/>
  <c r="Y157" i="50"/>
  <c r="G157" i="50"/>
  <c r="H157" i="50" s="1"/>
  <c r="J155" i="50"/>
  <c r="S225" i="50" s="1"/>
  <c r="D145" i="50"/>
  <c r="J143" i="50"/>
  <c r="D143" i="50"/>
  <c r="J142" i="50"/>
  <c r="D142" i="50"/>
  <c r="J141" i="50"/>
  <c r="D141" i="50"/>
  <c r="J140" i="50"/>
  <c r="D140" i="50"/>
  <c r="F129" i="50" s="1"/>
  <c r="J139" i="50"/>
  <c r="D139" i="50"/>
  <c r="F126" i="50" s="1"/>
  <c r="J138" i="50"/>
  <c r="D138" i="50"/>
  <c r="E145" i="50" s="1"/>
  <c r="J137" i="50"/>
  <c r="D137" i="50"/>
  <c r="J136" i="50"/>
  <c r="D136" i="50"/>
  <c r="J135" i="50"/>
  <c r="D135" i="50"/>
  <c r="J134" i="50"/>
  <c r="D134" i="50"/>
  <c r="E129" i="50" s="1"/>
  <c r="E117" i="50"/>
  <c r="E116" i="50"/>
  <c r="E115" i="50"/>
  <c r="E114" i="50"/>
  <c r="E113" i="50"/>
  <c r="E112" i="50"/>
  <c r="E111" i="50"/>
  <c r="E110" i="50"/>
  <c r="E109" i="50"/>
  <c r="I80" i="50"/>
  <c r="D80" i="50"/>
  <c r="I79" i="50"/>
  <c r="I78" i="50"/>
  <c r="E78" i="50"/>
  <c r="C78" i="50"/>
  <c r="I77" i="50"/>
  <c r="F77" i="50"/>
  <c r="C77" i="50"/>
  <c r="I76" i="50"/>
  <c r="C76" i="50"/>
  <c r="I75" i="50"/>
  <c r="G75" i="50"/>
  <c r="I74" i="50"/>
  <c r="I73" i="50"/>
  <c r="H73" i="50"/>
  <c r="G73" i="50"/>
  <c r="E73" i="50"/>
  <c r="C73" i="50"/>
  <c r="I72" i="50"/>
  <c r="I71" i="50"/>
  <c r="C71" i="50"/>
  <c r="T68" i="50"/>
  <c r="R68" i="50"/>
  <c r="P68" i="50"/>
  <c r="N68" i="50"/>
  <c r="L68" i="50"/>
  <c r="D68" i="50"/>
  <c r="C68" i="50"/>
  <c r="C80" i="50" s="1"/>
  <c r="T67" i="50"/>
  <c r="R67" i="50"/>
  <c r="P67" i="50"/>
  <c r="N67" i="50"/>
  <c r="L67" i="50"/>
  <c r="D67" i="50"/>
  <c r="D79" i="50" s="1"/>
  <c r="C67" i="50"/>
  <c r="H67" i="50" s="1"/>
  <c r="H79" i="50" s="1"/>
  <c r="T66" i="50"/>
  <c r="R66" i="50"/>
  <c r="P66" i="50"/>
  <c r="N66" i="50"/>
  <c r="L66" i="50"/>
  <c r="G66" i="50"/>
  <c r="G78" i="50" s="1"/>
  <c r="F66" i="50"/>
  <c r="F78" i="50" s="1"/>
  <c r="E66" i="50"/>
  <c r="D66" i="50"/>
  <c r="D78" i="50" s="1"/>
  <c r="C66" i="50"/>
  <c r="J164" i="50" s="1"/>
  <c r="T65" i="50"/>
  <c r="R65" i="50"/>
  <c r="P65" i="50"/>
  <c r="N65" i="50"/>
  <c r="L65" i="50"/>
  <c r="H65" i="50"/>
  <c r="H77" i="50" s="1"/>
  <c r="F65" i="50"/>
  <c r="E65" i="50"/>
  <c r="E77" i="50" s="1"/>
  <c r="D65" i="50"/>
  <c r="D77" i="50" s="1"/>
  <c r="C65" i="50"/>
  <c r="G65" i="50" s="1"/>
  <c r="G77" i="50" s="1"/>
  <c r="T64" i="50"/>
  <c r="R64" i="50"/>
  <c r="P64" i="50"/>
  <c r="N64" i="50"/>
  <c r="L64" i="50"/>
  <c r="E64" i="50"/>
  <c r="E76" i="50" s="1"/>
  <c r="D64" i="50"/>
  <c r="D76" i="50" s="1"/>
  <c r="C64" i="50"/>
  <c r="H64" i="50" s="1"/>
  <c r="H76" i="50" s="1"/>
  <c r="T63" i="50"/>
  <c r="R63" i="50"/>
  <c r="P63" i="50"/>
  <c r="N63" i="50"/>
  <c r="L63" i="50"/>
  <c r="H63" i="50"/>
  <c r="H75" i="50" s="1"/>
  <c r="G63" i="50"/>
  <c r="E63" i="50"/>
  <c r="E75" i="50" s="1"/>
  <c r="C63" i="50"/>
  <c r="D63" i="50" s="1"/>
  <c r="D75" i="50" s="1"/>
  <c r="T62" i="50"/>
  <c r="R62" i="50"/>
  <c r="P62" i="50"/>
  <c r="N62" i="50"/>
  <c r="L62" i="50"/>
  <c r="F62" i="50"/>
  <c r="F74" i="50" s="1"/>
  <c r="E62" i="50"/>
  <c r="E74" i="50" s="1"/>
  <c r="C62" i="50"/>
  <c r="J160" i="50" s="1"/>
  <c r="T61" i="50"/>
  <c r="R61" i="50"/>
  <c r="P61" i="50"/>
  <c r="N61" i="50"/>
  <c r="L61" i="50"/>
  <c r="H61" i="50"/>
  <c r="G61" i="50"/>
  <c r="F61" i="50"/>
  <c r="F73" i="50" s="1"/>
  <c r="E61" i="50"/>
  <c r="D61" i="50"/>
  <c r="D73" i="50" s="1"/>
  <c r="C61" i="50"/>
  <c r="T60" i="50"/>
  <c r="R60" i="50"/>
  <c r="P60" i="50"/>
  <c r="N60" i="50"/>
  <c r="L60" i="50"/>
  <c r="H60" i="50"/>
  <c r="H72" i="50" s="1"/>
  <c r="F60" i="50"/>
  <c r="F72" i="50" s="1"/>
  <c r="C60" i="50"/>
  <c r="E60" i="50" s="1"/>
  <c r="E72" i="50" s="1"/>
  <c r="T59" i="50"/>
  <c r="R59" i="50"/>
  <c r="P59" i="50"/>
  <c r="N59" i="50"/>
  <c r="L59" i="50"/>
  <c r="G59" i="50"/>
  <c r="G71" i="50" s="1"/>
  <c r="F59" i="50"/>
  <c r="F71" i="50" s="1"/>
  <c r="D59" i="50"/>
  <c r="D71" i="50" s="1"/>
  <c r="C59" i="50"/>
  <c r="H59" i="50" s="1"/>
  <c r="H71" i="50" s="1"/>
  <c r="W47" i="50"/>
  <c r="Y46" i="50"/>
  <c r="W46" i="50"/>
  <c r="W45" i="50"/>
  <c r="W40" i="50"/>
  <c r="X40" i="50" s="1"/>
  <c r="X39" i="50"/>
  <c r="W39" i="50"/>
  <c r="F39" i="50"/>
  <c r="E39" i="50"/>
  <c r="W38" i="50"/>
  <c r="X38" i="50" s="1"/>
  <c r="F38" i="50"/>
  <c r="E38" i="50"/>
  <c r="F37" i="50"/>
  <c r="E37" i="50"/>
  <c r="F36" i="50"/>
  <c r="E36" i="50"/>
  <c r="F35" i="50"/>
  <c r="E35" i="50"/>
  <c r="F34" i="50"/>
  <c r="E34" i="50"/>
  <c r="F33" i="50"/>
  <c r="E33" i="50"/>
  <c r="X32" i="50"/>
  <c r="U32" i="50"/>
  <c r="AA34" i="50" s="1"/>
  <c r="F32" i="50"/>
  <c r="E32" i="50"/>
  <c r="F31" i="50"/>
  <c r="E31" i="50"/>
  <c r="F30" i="50"/>
  <c r="E30" i="50"/>
  <c r="D20" i="50"/>
  <c r="C20" i="50"/>
  <c r="R13" i="50"/>
  <c r="Q10" i="50"/>
  <c r="P10" i="50"/>
  <c r="L297" i="49"/>
  <c r="P297" i="49" s="1"/>
  <c r="L296" i="49"/>
  <c r="P296" i="49" s="1"/>
  <c r="J296" i="49"/>
  <c r="L295" i="49"/>
  <c r="P295" i="49" s="1"/>
  <c r="J295" i="49"/>
  <c r="L294" i="49"/>
  <c r="P294" i="49" s="1"/>
  <c r="I294" i="49"/>
  <c r="H294" i="49"/>
  <c r="L293" i="49"/>
  <c r="P293" i="49" s="1"/>
  <c r="I293" i="49"/>
  <c r="L292" i="49"/>
  <c r="P292" i="49" s="1"/>
  <c r="L291" i="49"/>
  <c r="P291" i="49" s="1"/>
  <c r="I291" i="49"/>
  <c r="L290" i="49"/>
  <c r="P290" i="49" s="1"/>
  <c r="I290" i="49"/>
  <c r="L289" i="49"/>
  <c r="P289" i="49" s="1"/>
  <c r="J289" i="49"/>
  <c r="I289" i="49"/>
  <c r="L288" i="49"/>
  <c r="P288" i="49" s="1"/>
  <c r="J288" i="49"/>
  <c r="B285" i="49"/>
  <c r="I283" i="49"/>
  <c r="C282" i="49"/>
  <c r="D281" i="49"/>
  <c r="C281" i="49"/>
  <c r="B281" i="49"/>
  <c r="D280" i="49"/>
  <c r="B280" i="49"/>
  <c r="E279" i="49"/>
  <c r="B279" i="49"/>
  <c r="E278" i="49"/>
  <c r="B278" i="49"/>
  <c r="B277" i="49"/>
  <c r="Q266" i="49"/>
  <c r="L266" i="49"/>
  <c r="N266" i="49" s="1"/>
  <c r="O266" i="49" s="1"/>
  <c r="Q265" i="49"/>
  <c r="L265" i="49"/>
  <c r="Q264" i="49"/>
  <c r="L264" i="49"/>
  <c r="N264" i="49" s="1"/>
  <c r="O264" i="49" s="1"/>
  <c r="Q263" i="49"/>
  <c r="L263" i="49"/>
  <c r="F263" i="49"/>
  <c r="G263" i="49" s="1"/>
  <c r="H263" i="49" s="1"/>
  <c r="N294" i="49" s="1"/>
  <c r="Q262" i="49"/>
  <c r="L262" i="49"/>
  <c r="N262" i="49" s="1"/>
  <c r="O262" i="49" s="1"/>
  <c r="Q261" i="49"/>
  <c r="L261" i="49"/>
  <c r="Q260" i="49"/>
  <c r="L260" i="49"/>
  <c r="N260" i="49" s="1"/>
  <c r="O260" i="49" s="1"/>
  <c r="Q259" i="49"/>
  <c r="L259" i="49"/>
  <c r="Q258" i="49"/>
  <c r="L258" i="49"/>
  <c r="N258" i="49" s="1"/>
  <c r="O258" i="49" s="1"/>
  <c r="B258" i="49"/>
  <c r="Q257" i="49"/>
  <c r="R257" i="49" s="1"/>
  <c r="M257" i="49"/>
  <c r="L257" i="49"/>
  <c r="N257" i="49" s="1"/>
  <c r="O257" i="49" s="1"/>
  <c r="B257" i="49"/>
  <c r="B256" i="49"/>
  <c r="R250" i="49"/>
  <c r="R249" i="49"/>
  <c r="R248" i="49"/>
  <c r="R247" i="49"/>
  <c r="R246" i="49"/>
  <c r="R245" i="49"/>
  <c r="R244" i="49"/>
  <c r="R243" i="49"/>
  <c r="R242" i="49"/>
  <c r="R241" i="49"/>
  <c r="L236" i="49"/>
  <c r="N236" i="49" s="1"/>
  <c r="O236" i="49" s="1"/>
  <c r="L235" i="49"/>
  <c r="L234" i="49"/>
  <c r="L233" i="49"/>
  <c r="L232" i="49"/>
  <c r="N232" i="49" s="1"/>
  <c r="O232" i="49" s="1"/>
  <c r="L231" i="49"/>
  <c r="L230" i="49"/>
  <c r="N230" i="49" s="1"/>
  <c r="O230" i="49" s="1"/>
  <c r="L229" i="49"/>
  <c r="L228" i="49"/>
  <c r="B228" i="49"/>
  <c r="L227" i="49"/>
  <c r="B227" i="49"/>
  <c r="M227" i="49" s="1"/>
  <c r="B226" i="49"/>
  <c r="I213" i="49"/>
  <c r="M213" i="49" s="1"/>
  <c r="I212" i="49"/>
  <c r="M212" i="49" s="1"/>
  <c r="I211" i="49"/>
  <c r="M211" i="49" s="1"/>
  <c r="I209" i="49"/>
  <c r="M209" i="49" s="1"/>
  <c r="I206" i="49"/>
  <c r="M206" i="49" s="1"/>
  <c r="I205" i="49"/>
  <c r="M205" i="49" s="1"/>
  <c r="H205" i="49"/>
  <c r="I208" i="49" s="1"/>
  <c r="M208" i="49" s="1"/>
  <c r="R203" i="49"/>
  <c r="Q203" i="49"/>
  <c r="M194" i="49"/>
  <c r="I297" i="49" s="1"/>
  <c r="L194" i="49"/>
  <c r="J297" i="49" s="1"/>
  <c r="I194" i="49"/>
  <c r="G194" i="49"/>
  <c r="S194" i="49" s="1"/>
  <c r="M193" i="49"/>
  <c r="I296" i="49" s="1"/>
  <c r="L193" i="49"/>
  <c r="I193" i="49"/>
  <c r="G193" i="49"/>
  <c r="H296" i="49" s="1"/>
  <c r="M192" i="49"/>
  <c r="I295" i="49" s="1"/>
  <c r="L192" i="49"/>
  <c r="I192" i="49"/>
  <c r="G192" i="49"/>
  <c r="F264" i="49" s="1"/>
  <c r="G264" i="49" s="1"/>
  <c r="H264" i="49" s="1"/>
  <c r="N295" i="49" s="1"/>
  <c r="S191" i="49"/>
  <c r="M191" i="49"/>
  <c r="L191" i="49"/>
  <c r="J294" i="49" s="1"/>
  <c r="I191" i="49"/>
  <c r="G191" i="49"/>
  <c r="M190" i="49"/>
  <c r="L190" i="49"/>
  <c r="J293" i="49" s="1"/>
  <c r="I190" i="49"/>
  <c r="G190" i="49"/>
  <c r="S190" i="49" s="1"/>
  <c r="M189" i="49"/>
  <c r="I292" i="49" s="1"/>
  <c r="L189" i="49"/>
  <c r="J292" i="49" s="1"/>
  <c r="I189" i="49"/>
  <c r="G189" i="49"/>
  <c r="H292" i="49" s="1"/>
  <c r="M188" i="49"/>
  <c r="L188" i="49"/>
  <c r="J291" i="49" s="1"/>
  <c r="I188" i="49"/>
  <c r="G188" i="49"/>
  <c r="H291" i="49" s="1"/>
  <c r="M187" i="49"/>
  <c r="L187" i="49"/>
  <c r="J290" i="49" s="1"/>
  <c r="J187" i="49"/>
  <c r="J188" i="49" s="1"/>
  <c r="J189" i="49" s="1"/>
  <c r="J190" i="49" s="1"/>
  <c r="J191" i="49" s="1"/>
  <c r="J192" i="49" s="1"/>
  <c r="J193" i="49" s="1"/>
  <c r="J194" i="49" s="1"/>
  <c r="I187" i="49"/>
  <c r="G187" i="49"/>
  <c r="S187" i="49" s="1"/>
  <c r="M186" i="49"/>
  <c r="L186" i="49"/>
  <c r="J186" i="49"/>
  <c r="I186" i="49"/>
  <c r="G186" i="49"/>
  <c r="S186" i="49" s="1"/>
  <c r="M185" i="49"/>
  <c r="I288" i="49" s="1"/>
  <c r="L185" i="49"/>
  <c r="I185" i="49"/>
  <c r="G185" i="49"/>
  <c r="F257" i="49" s="1"/>
  <c r="G257" i="49" s="1"/>
  <c r="H257" i="49" s="1"/>
  <c r="N288" i="49" s="1"/>
  <c r="H182" i="49"/>
  <c r="I179" i="49"/>
  <c r="G166" i="49"/>
  <c r="H166" i="49" s="1"/>
  <c r="J165" i="49"/>
  <c r="H165" i="49"/>
  <c r="G165" i="49"/>
  <c r="G164" i="49"/>
  <c r="H164" i="49" s="1"/>
  <c r="J163" i="49"/>
  <c r="G163" i="49"/>
  <c r="H163" i="49" s="1"/>
  <c r="J162" i="49"/>
  <c r="H162" i="49"/>
  <c r="G162" i="49"/>
  <c r="Y161" i="49"/>
  <c r="G161" i="49"/>
  <c r="H161" i="49" s="1"/>
  <c r="G160" i="49"/>
  <c r="H160" i="49" s="1"/>
  <c r="J159" i="49"/>
  <c r="G159" i="49"/>
  <c r="H159" i="49" s="1"/>
  <c r="J158" i="49"/>
  <c r="G158" i="49"/>
  <c r="H158" i="49" s="1"/>
  <c r="Y157" i="49"/>
  <c r="G157" i="49"/>
  <c r="H157" i="49" s="1"/>
  <c r="J155" i="49"/>
  <c r="S225" i="49" s="1"/>
  <c r="E145" i="49"/>
  <c r="J143" i="49"/>
  <c r="D143" i="49"/>
  <c r="J142" i="49"/>
  <c r="D142" i="49"/>
  <c r="J141" i="49"/>
  <c r="D141" i="49"/>
  <c r="J140" i="49"/>
  <c r="D140" i="49"/>
  <c r="F126" i="49" s="1"/>
  <c r="J139" i="49"/>
  <c r="D139" i="49"/>
  <c r="J138" i="49"/>
  <c r="D138" i="49"/>
  <c r="J137" i="49"/>
  <c r="D137" i="49"/>
  <c r="J136" i="49"/>
  <c r="D136" i="49"/>
  <c r="E128" i="49" s="1"/>
  <c r="J135" i="49"/>
  <c r="D135" i="49"/>
  <c r="E126" i="49" s="1"/>
  <c r="J134" i="49"/>
  <c r="D134" i="49"/>
  <c r="E117" i="49"/>
  <c r="E116" i="49"/>
  <c r="E115" i="49"/>
  <c r="E114" i="49"/>
  <c r="E113" i="49"/>
  <c r="E112" i="49"/>
  <c r="E111" i="49"/>
  <c r="E110" i="49"/>
  <c r="E109" i="49"/>
  <c r="I80" i="49"/>
  <c r="I79" i="49"/>
  <c r="F79" i="49"/>
  <c r="I78" i="49"/>
  <c r="C78" i="49"/>
  <c r="I77" i="49"/>
  <c r="I76" i="49"/>
  <c r="C76" i="49"/>
  <c r="I75" i="49"/>
  <c r="G75" i="49"/>
  <c r="I74" i="49"/>
  <c r="C74" i="49"/>
  <c r="I73" i="49"/>
  <c r="G73" i="49"/>
  <c r="F73" i="49"/>
  <c r="C73" i="49"/>
  <c r="I72" i="49"/>
  <c r="I71" i="49"/>
  <c r="C71" i="49"/>
  <c r="T68" i="49"/>
  <c r="R68" i="49"/>
  <c r="P68" i="49"/>
  <c r="N68" i="49"/>
  <c r="L68" i="49"/>
  <c r="C68" i="49"/>
  <c r="C80" i="49" s="1"/>
  <c r="T67" i="49"/>
  <c r="R67" i="49"/>
  <c r="P67" i="49"/>
  <c r="N67" i="49"/>
  <c r="L67" i="49"/>
  <c r="H67" i="49"/>
  <c r="H79" i="49" s="1"/>
  <c r="G67" i="49"/>
  <c r="G79" i="49" s="1"/>
  <c r="F67" i="49"/>
  <c r="E67" i="49"/>
  <c r="E79" i="49" s="1"/>
  <c r="D67" i="49"/>
  <c r="D79" i="49" s="1"/>
  <c r="C67" i="49"/>
  <c r="C79" i="49" s="1"/>
  <c r="T66" i="49"/>
  <c r="R66" i="49"/>
  <c r="P66" i="49"/>
  <c r="N66" i="49"/>
  <c r="L66" i="49"/>
  <c r="H66" i="49"/>
  <c r="H78" i="49" s="1"/>
  <c r="F66" i="49"/>
  <c r="F78" i="49" s="1"/>
  <c r="E66" i="49"/>
  <c r="E78" i="49" s="1"/>
  <c r="D66" i="49"/>
  <c r="D78" i="49" s="1"/>
  <c r="C66" i="49"/>
  <c r="J164" i="49" s="1"/>
  <c r="T65" i="49"/>
  <c r="R65" i="49"/>
  <c r="P65" i="49"/>
  <c r="N65" i="49"/>
  <c r="L65" i="49"/>
  <c r="D65" i="49"/>
  <c r="D77" i="49" s="1"/>
  <c r="C65" i="49"/>
  <c r="C77" i="49" s="1"/>
  <c r="T64" i="49"/>
  <c r="R64" i="49"/>
  <c r="P64" i="49"/>
  <c r="N64" i="49"/>
  <c r="L64" i="49"/>
  <c r="H64" i="49"/>
  <c r="H76" i="49" s="1"/>
  <c r="G64" i="49"/>
  <c r="G76" i="49" s="1"/>
  <c r="F64" i="49"/>
  <c r="F76" i="49" s="1"/>
  <c r="E64" i="49"/>
  <c r="E76" i="49" s="1"/>
  <c r="C64" i="49"/>
  <c r="D64" i="49" s="1"/>
  <c r="D76" i="49" s="1"/>
  <c r="T63" i="49"/>
  <c r="R63" i="49"/>
  <c r="P63" i="49"/>
  <c r="N63" i="49"/>
  <c r="L63" i="49"/>
  <c r="G63" i="49"/>
  <c r="F63" i="49"/>
  <c r="F75" i="49" s="1"/>
  <c r="E63" i="49"/>
  <c r="E75" i="49" s="1"/>
  <c r="C63" i="49"/>
  <c r="D63" i="49" s="1"/>
  <c r="D75" i="49" s="1"/>
  <c r="T62" i="49"/>
  <c r="R62" i="49"/>
  <c r="P62" i="49"/>
  <c r="N62" i="49"/>
  <c r="L62" i="49"/>
  <c r="E62" i="49"/>
  <c r="E74" i="49" s="1"/>
  <c r="D62" i="49"/>
  <c r="D74" i="49" s="1"/>
  <c r="C62" i="49"/>
  <c r="J160" i="49" s="1"/>
  <c r="T61" i="49"/>
  <c r="R61" i="49"/>
  <c r="P61" i="49"/>
  <c r="N61" i="49"/>
  <c r="L61" i="49"/>
  <c r="H61" i="49"/>
  <c r="H73" i="49" s="1"/>
  <c r="G61" i="49"/>
  <c r="F61" i="49"/>
  <c r="C61" i="49"/>
  <c r="E61" i="49" s="1"/>
  <c r="E73" i="49" s="1"/>
  <c r="T60" i="49"/>
  <c r="R60" i="49"/>
  <c r="P60" i="49"/>
  <c r="N60" i="49"/>
  <c r="L60" i="49"/>
  <c r="H60" i="49"/>
  <c r="H72" i="49" s="1"/>
  <c r="G60" i="49"/>
  <c r="G72" i="49" s="1"/>
  <c r="F60" i="49"/>
  <c r="F72" i="49" s="1"/>
  <c r="C60" i="49"/>
  <c r="E60" i="49" s="1"/>
  <c r="E72" i="49" s="1"/>
  <c r="T59" i="49"/>
  <c r="R59" i="49"/>
  <c r="P59" i="49"/>
  <c r="N59" i="49"/>
  <c r="L59" i="49"/>
  <c r="C59" i="49"/>
  <c r="H59" i="49" s="1"/>
  <c r="H71" i="49" s="1"/>
  <c r="W47" i="49"/>
  <c r="Y46" i="49"/>
  <c r="W46" i="49"/>
  <c r="W45" i="49"/>
  <c r="X40" i="49"/>
  <c r="W40" i="49"/>
  <c r="X39" i="49"/>
  <c r="W39" i="49"/>
  <c r="F39" i="49"/>
  <c r="E39" i="49"/>
  <c r="W38" i="49"/>
  <c r="X38" i="49" s="1"/>
  <c r="F38" i="49"/>
  <c r="E38" i="49"/>
  <c r="F37" i="49"/>
  <c r="E37" i="49"/>
  <c r="F36" i="49"/>
  <c r="E36" i="49"/>
  <c r="F35" i="49"/>
  <c r="E35" i="49"/>
  <c r="AA34" i="49"/>
  <c r="F34" i="49"/>
  <c r="E34" i="49"/>
  <c r="F33" i="49"/>
  <c r="E33" i="49"/>
  <c r="X32" i="49"/>
  <c r="U32" i="49"/>
  <c r="AA32" i="49" s="1"/>
  <c r="F32" i="49"/>
  <c r="E32" i="49"/>
  <c r="F31" i="49"/>
  <c r="E31" i="49"/>
  <c r="F30" i="49"/>
  <c r="E30" i="49"/>
  <c r="D20" i="49"/>
  <c r="C20" i="49"/>
  <c r="R13" i="49"/>
  <c r="Q10" i="49"/>
  <c r="P10" i="49"/>
  <c r="M157" i="48"/>
  <c r="N157" i="48"/>
  <c r="F30" i="48"/>
  <c r="L297" i="48"/>
  <c r="P297" i="48" s="1"/>
  <c r="L296" i="48"/>
  <c r="P296" i="48" s="1"/>
  <c r="L295" i="48"/>
  <c r="P295" i="48" s="1"/>
  <c r="L294" i="48"/>
  <c r="P294" i="48" s="1"/>
  <c r="H294" i="48"/>
  <c r="L293" i="48"/>
  <c r="P293" i="48" s="1"/>
  <c r="L292" i="48"/>
  <c r="P292" i="48" s="1"/>
  <c r="L291" i="48"/>
  <c r="P291" i="48" s="1"/>
  <c r="L290" i="48"/>
  <c r="P290" i="48" s="1"/>
  <c r="L289" i="48"/>
  <c r="P289" i="48" s="1"/>
  <c r="I289" i="48"/>
  <c r="H289" i="48"/>
  <c r="L288" i="48"/>
  <c r="P288" i="48" s="1"/>
  <c r="B285" i="48"/>
  <c r="I283" i="48"/>
  <c r="C282" i="48"/>
  <c r="D281" i="48"/>
  <c r="C281" i="48"/>
  <c r="B281" i="48"/>
  <c r="D280" i="48"/>
  <c r="B280" i="48"/>
  <c r="E279" i="48"/>
  <c r="B279" i="48"/>
  <c r="E278" i="48"/>
  <c r="B278" i="48"/>
  <c r="B277" i="48"/>
  <c r="Q266" i="48"/>
  <c r="L266" i="48"/>
  <c r="Q265" i="48"/>
  <c r="L265" i="48"/>
  <c r="F265" i="48"/>
  <c r="G265" i="48" s="1"/>
  <c r="H265" i="48" s="1"/>
  <c r="N296" i="48" s="1"/>
  <c r="Q264" i="48"/>
  <c r="L264" i="48"/>
  <c r="N264" i="48" s="1"/>
  <c r="O264" i="48" s="1"/>
  <c r="R264" i="48" s="1"/>
  <c r="Q263" i="48"/>
  <c r="L263" i="48"/>
  <c r="F263" i="48"/>
  <c r="G263" i="48" s="1"/>
  <c r="H263" i="48" s="1"/>
  <c r="N294" i="48" s="1"/>
  <c r="Q262" i="48"/>
  <c r="L262" i="48"/>
  <c r="N262" i="48" s="1"/>
  <c r="O262" i="48" s="1"/>
  <c r="R262" i="48" s="1"/>
  <c r="Q261" i="48"/>
  <c r="L261" i="48"/>
  <c r="F261" i="48"/>
  <c r="G261" i="48" s="1"/>
  <c r="H261" i="48" s="1"/>
  <c r="N292" i="48" s="1"/>
  <c r="Q260" i="48"/>
  <c r="L260" i="48"/>
  <c r="Q259" i="48"/>
  <c r="L259" i="48"/>
  <c r="F259" i="48"/>
  <c r="G259" i="48" s="1"/>
  <c r="H259" i="48" s="1"/>
  <c r="N290" i="48" s="1"/>
  <c r="Q258" i="48"/>
  <c r="L258" i="48"/>
  <c r="B258" i="48"/>
  <c r="Q257" i="48"/>
  <c r="L257" i="48"/>
  <c r="B257" i="48"/>
  <c r="M257" i="48" s="1"/>
  <c r="B256" i="48"/>
  <c r="R250" i="48"/>
  <c r="R249" i="48"/>
  <c r="R248" i="48"/>
  <c r="R247" i="48"/>
  <c r="R246" i="48"/>
  <c r="R245" i="48"/>
  <c r="R244" i="48"/>
  <c r="R243" i="48"/>
  <c r="R242" i="48"/>
  <c r="R241" i="48"/>
  <c r="L236" i="48"/>
  <c r="L235" i="48"/>
  <c r="N235" i="48" s="1"/>
  <c r="O235" i="48" s="1"/>
  <c r="L234" i="48"/>
  <c r="N234" i="48" s="1"/>
  <c r="O234" i="48" s="1"/>
  <c r="L233" i="48"/>
  <c r="L232" i="48"/>
  <c r="L231" i="48"/>
  <c r="L230" i="48"/>
  <c r="N230" i="48" s="1"/>
  <c r="O230" i="48" s="1"/>
  <c r="L229" i="48"/>
  <c r="N229" i="48" s="1"/>
  <c r="O229" i="48" s="1"/>
  <c r="L228" i="48"/>
  <c r="N228" i="48" s="1"/>
  <c r="O228" i="48" s="1"/>
  <c r="B228" i="48"/>
  <c r="L227" i="48"/>
  <c r="B227" i="48"/>
  <c r="M227" i="48" s="1"/>
  <c r="B226" i="48"/>
  <c r="S225" i="48"/>
  <c r="M214" i="48"/>
  <c r="I214" i="48"/>
  <c r="I213" i="48"/>
  <c r="M213" i="48" s="1"/>
  <c r="I212" i="48"/>
  <c r="M212" i="48" s="1"/>
  <c r="I211" i="48"/>
  <c r="M211" i="48" s="1"/>
  <c r="I209" i="48"/>
  <c r="M209" i="48" s="1"/>
  <c r="I206" i="48"/>
  <c r="M206" i="48" s="1"/>
  <c r="I205" i="48"/>
  <c r="M205" i="48" s="1"/>
  <c r="H205" i="48"/>
  <c r="I208" i="48" s="1"/>
  <c r="M208" i="48" s="1"/>
  <c r="R203" i="48"/>
  <c r="Q203" i="48"/>
  <c r="M194" i="48"/>
  <c r="I297" i="48" s="1"/>
  <c r="L194" i="48"/>
  <c r="J297" i="48" s="1"/>
  <c r="I194" i="48"/>
  <c r="G194" i="48"/>
  <c r="S194" i="48" s="1"/>
  <c r="S193" i="48"/>
  <c r="M193" i="48"/>
  <c r="I296" i="48" s="1"/>
  <c r="L193" i="48"/>
  <c r="J296" i="48" s="1"/>
  <c r="I193" i="48"/>
  <c r="G193" i="48"/>
  <c r="H296" i="48" s="1"/>
  <c r="S192" i="48"/>
  <c r="M192" i="48"/>
  <c r="I295" i="48" s="1"/>
  <c r="L192" i="48"/>
  <c r="J295" i="48" s="1"/>
  <c r="I192" i="48"/>
  <c r="G192" i="48"/>
  <c r="H295" i="48" s="1"/>
  <c r="S191" i="48"/>
  <c r="M191" i="48"/>
  <c r="I294" i="48" s="1"/>
  <c r="L191" i="48"/>
  <c r="J294" i="48" s="1"/>
  <c r="I191" i="48"/>
  <c r="G191" i="48"/>
  <c r="M190" i="48"/>
  <c r="I293" i="48" s="1"/>
  <c r="L190" i="48"/>
  <c r="J293" i="48" s="1"/>
  <c r="I190" i="48"/>
  <c r="G190" i="48"/>
  <c r="S190" i="48" s="1"/>
  <c r="S189" i="48"/>
  <c r="M189" i="48"/>
  <c r="I292" i="48" s="1"/>
  <c r="L189" i="48"/>
  <c r="J292" i="48" s="1"/>
  <c r="I189" i="48"/>
  <c r="G189" i="48"/>
  <c r="H292" i="48" s="1"/>
  <c r="S188" i="48"/>
  <c r="M188" i="48"/>
  <c r="I291" i="48" s="1"/>
  <c r="L188" i="48"/>
  <c r="J291" i="48" s="1"/>
  <c r="I188" i="48"/>
  <c r="G188" i="48"/>
  <c r="H291" i="48" s="1"/>
  <c r="S187" i="48"/>
  <c r="M187" i="48"/>
  <c r="I290" i="48" s="1"/>
  <c r="L187" i="48"/>
  <c r="J290" i="48" s="1"/>
  <c r="J187" i="48"/>
  <c r="J188" i="48" s="1"/>
  <c r="J189" i="48" s="1"/>
  <c r="J190" i="48" s="1"/>
  <c r="J191" i="48" s="1"/>
  <c r="J192" i="48" s="1"/>
  <c r="J193" i="48" s="1"/>
  <c r="J194" i="48" s="1"/>
  <c r="I187" i="48"/>
  <c r="G187" i="48"/>
  <c r="H290" i="48" s="1"/>
  <c r="M186" i="48"/>
  <c r="L186" i="48"/>
  <c r="J289" i="48" s="1"/>
  <c r="J186" i="48"/>
  <c r="I186" i="48"/>
  <c r="G186" i="48"/>
  <c r="S186" i="48" s="1"/>
  <c r="M185" i="48"/>
  <c r="I288" i="48" s="1"/>
  <c r="L185" i="48"/>
  <c r="J288" i="48" s="1"/>
  <c r="I185" i="48"/>
  <c r="G185" i="48"/>
  <c r="F257" i="48" s="1"/>
  <c r="G257" i="48" s="1"/>
  <c r="H257" i="48" s="1"/>
  <c r="N288" i="48" s="1"/>
  <c r="H182" i="48"/>
  <c r="I179" i="48"/>
  <c r="G166" i="48"/>
  <c r="H166" i="48" s="1"/>
  <c r="H165" i="48"/>
  <c r="G165" i="48"/>
  <c r="G164" i="48"/>
  <c r="H164" i="48" s="1"/>
  <c r="G163" i="48"/>
  <c r="H163" i="48" s="1"/>
  <c r="H162" i="48"/>
  <c r="G162" i="48"/>
  <c r="Y161" i="48"/>
  <c r="H161" i="48"/>
  <c r="G161" i="48"/>
  <c r="H160" i="48"/>
  <c r="G160" i="48"/>
  <c r="G159" i="48"/>
  <c r="H159" i="48" s="1"/>
  <c r="H158" i="48"/>
  <c r="G158" i="48"/>
  <c r="Y157" i="48"/>
  <c r="G157" i="48"/>
  <c r="H157" i="48" s="1"/>
  <c r="J155" i="48"/>
  <c r="H284" i="48" s="1"/>
  <c r="E145" i="48"/>
  <c r="J143" i="48"/>
  <c r="D143" i="48"/>
  <c r="J142" i="48"/>
  <c r="D142" i="48"/>
  <c r="J141" i="48"/>
  <c r="D141" i="48"/>
  <c r="J140" i="48"/>
  <c r="D140" i="48"/>
  <c r="J139" i="48"/>
  <c r="D139" i="48"/>
  <c r="J138" i="48"/>
  <c r="D138" i="48"/>
  <c r="J137" i="48"/>
  <c r="D137" i="48"/>
  <c r="J136" i="48"/>
  <c r="D136" i="48"/>
  <c r="J135" i="48"/>
  <c r="D135" i="48"/>
  <c r="J134" i="48"/>
  <c r="D134" i="48"/>
  <c r="D145" i="48" s="1"/>
  <c r="F129" i="48"/>
  <c r="E129" i="48"/>
  <c r="F128" i="48"/>
  <c r="E128" i="48"/>
  <c r="F127" i="48"/>
  <c r="E127" i="48" a="1"/>
  <c r="E127" i="48" s="1"/>
  <c r="F126" i="48"/>
  <c r="F141" i="48" s="1"/>
  <c r="I141" i="48" s="1"/>
  <c r="E126" i="48"/>
  <c r="E117" i="48"/>
  <c r="E116" i="48"/>
  <c r="E115" i="48"/>
  <c r="E114" i="48"/>
  <c r="E113" i="48"/>
  <c r="E112" i="48"/>
  <c r="E111" i="48"/>
  <c r="E110" i="48"/>
  <c r="E109" i="48"/>
  <c r="I80" i="48"/>
  <c r="C80" i="48"/>
  <c r="I79" i="48"/>
  <c r="I78" i="48"/>
  <c r="I77" i="48"/>
  <c r="I76" i="48"/>
  <c r="I75" i="48"/>
  <c r="I74" i="48"/>
  <c r="I73" i="48"/>
  <c r="I72" i="48"/>
  <c r="I71" i="48"/>
  <c r="T68" i="48"/>
  <c r="R68" i="48"/>
  <c r="P68" i="48"/>
  <c r="N68" i="48"/>
  <c r="L68" i="48"/>
  <c r="C68" i="48"/>
  <c r="H68" i="48" s="1"/>
  <c r="H80" i="48" s="1"/>
  <c r="T67" i="48"/>
  <c r="R67" i="48"/>
  <c r="P67" i="48"/>
  <c r="N67" i="48"/>
  <c r="L67" i="48"/>
  <c r="C67" i="48"/>
  <c r="G67" i="48" s="1"/>
  <c r="G79" i="48" s="1"/>
  <c r="T66" i="48"/>
  <c r="R66" i="48"/>
  <c r="P66" i="48"/>
  <c r="N66" i="48"/>
  <c r="L66" i="48"/>
  <c r="C66" i="48"/>
  <c r="J164" i="48" s="1"/>
  <c r="T65" i="48"/>
  <c r="R65" i="48"/>
  <c r="P65" i="48"/>
  <c r="N65" i="48"/>
  <c r="L65" i="48"/>
  <c r="C65" i="48"/>
  <c r="C77" i="48" s="1"/>
  <c r="T64" i="48"/>
  <c r="R64" i="48"/>
  <c r="P64" i="48"/>
  <c r="N64" i="48"/>
  <c r="L64" i="48"/>
  <c r="C64" i="48"/>
  <c r="H64" i="48" s="1"/>
  <c r="H76" i="48" s="1"/>
  <c r="T63" i="48"/>
  <c r="R63" i="48"/>
  <c r="P63" i="48"/>
  <c r="N63" i="48"/>
  <c r="L63" i="48"/>
  <c r="C63" i="48"/>
  <c r="C75" i="48" s="1"/>
  <c r="T62" i="48"/>
  <c r="R62" i="48"/>
  <c r="P62" i="48"/>
  <c r="N62" i="48"/>
  <c r="L62" i="48"/>
  <c r="C62" i="48"/>
  <c r="F62" i="48" s="1"/>
  <c r="F74" i="48" s="1"/>
  <c r="T61" i="48"/>
  <c r="R61" i="48"/>
  <c r="P61" i="48"/>
  <c r="N61" i="48"/>
  <c r="L61" i="48"/>
  <c r="C61" i="48"/>
  <c r="C73" i="48" s="1"/>
  <c r="T60" i="48"/>
  <c r="R60" i="48"/>
  <c r="P60" i="48"/>
  <c r="N60" i="48"/>
  <c r="L60" i="48"/>
  <c r="G60" i="48"/>
  <c r="G72" i="48" s="1"/>
  <c r="C60" i="48"/>
  <c r="D60" i="48" s="1"/>
  <c r="D72" i="48" s="1"/>
  <c r="T59" i="48"/>
  <c r="R59" i="48"/>
  <c r="P59" i="48"/>
  <c r="N59" i="48"/>
  <c r="L59" i="48"/>
  <c r="C59" i="48"/>
  <c r="J157" i="48" s="1"/>
  <c r="W47" i="48"/>
  <c r="Y46" i="48"/>
  <c r="W46" i="48"/>
  <c r="W45" i="48"/>
  <c r="W40" i="48"/>
  <c r="X40" i="48" s="1"/>
  <c r="X39" i="48"/>
  <c r="W39" i="48"/>
  <c r="F39" i="48"/>
  <c r="E39" i="48"/>
  <c r="W38" i="48"/>
  <c r="X38" i="48" s="1"/>
  <c r="F38" i="48"/>
  <c r="E38" i="48"/>
  <c r="F37" i="48"/>
  <c r="E37" i="48"/>
  <c r="F36" i="48"/>
  <c r="E36" i="48"/>
  <c r="F35" i="48"/>
  <c r="E35" i="48"/>
  <c r="F34" i="48"/>
  <c r="E34" i="48"/>
  <c r="F33" i="48"/>
  <c r="E33" i="48"/>
  <c r="X32" i="48"/>
  <c r="U32" i="48"/>
  <c r="AA34" i="48" s="1"/>
  <c r="F32" i="48"/>
  <c r="E32" i="48"/>
  <c r="F31" i="48"/>
  <c r="E31" i="48"/>
  <c r="E30" i="48"/>
  <c r="D20" i="48"/>
  <c r="C20" i="48"/>
  <c r="R13" i="48"/>
  <c r="Q10" i="48"/>
  <c r="P10" i="48"/>
  <c r="P157" i="47"/>
  <c r="R257" i="52" l="1"/>
  <c r="S192" i="52"/>
  <c r="R264" i="52"/>
  <c r="F263" i="52"/>
  <c r="G263" i="52" s="1"/>
  <c r="H263" i="52" s="1"/>
  <c r="N294" i="52" s="1"/>
  <c r="H294" i="52"/>
  <c r="R262" i="52"/>
  <c r="S189" i="52"/>
  <c r="R260" i="52"/>
  <c r="S188" i="52"/>
  <c r="H290" i="52"/>
  <c r="S187" i="52"/>
  <c r="R258" i="52"/>
  <c r="H289" i="52"/>
  <c r="S185" i="52"/>
  <c r="F129" i="52"/>
  <c r="E126" i="52"/>
  <c r="E135" i="52" s="1"/>
  <c r="I135" i="52" s="1"/>
  <c r="N231" i="52"/>
  <c r="O231" i="52" s="1"/>
  <c r="N227" i="52"/>
  <c r="O227" i="52" s="1"/>
  <c r="N265" i="52"/>
  <c r="O265" i="52" s="1"/>
  <c r="R265" i="52" s="1"/>
  <c r="N263" i="52"/>
  <c r="O263" i="52" s="1"/>
  <c r="R263" i="52" s="1"/>
  <c r="N261" i="52"/>
  <c r="O261" i="52" s="1"/>
  <c r="R261" i="52" s="1"/>
  <c r="N259" i="52"/>
  <c r="O259" i="52" s="1"/>
  <c r="R259" i="52" s="1"/>
  <c r="H60" i="52"/>
  <c r="H72" i="52" s="1"/>
  <c r="F66" i="52"/>
  <c r="F78" i="52" s="1"/>
  <c r="J163" i="52"/>
  <c r="F127" i="52"/>
  <c r="F141" i="52" s="1"/>
  <c r="I141" i="52" s="1"/>
  <c r="H288" i="52"/>
  <c r="N233" i="52"/>
  <c r="O233" i="52" s="1"/>
  <c r="D65" i="52"/>
  <c r="D77" i="52" s="1"/>
  <c r="F128" i="52"/>
  <c r="F140" i="52" s="1"/>
  <c r="I140" i="52" s="1"/>
  <c r="F62" i="52"/>
  <c r="F74" i="52" s="1"/>
  <c r="E65" i="52"/>
  <c r="E77" i="52" s="1"/>
  <c r="D68" i="52"/>
  <c r="D80" i="52" s="1"/>
  <c r="E129" i="52"/>
  <c r="E138" i="52" s="1"/>
  <c r="I138" i="52" s="1"/>
  <c r="G62" i="52"/>
  <c r="G74" i="52" s="1"/>
  <c r="F65" i="52"/>
  <c r="F77" i="52" s="1"/>
  <c r="E68" i="52"/>
  <c r="E80" i="52" s="1"/>
  <c r="C72" i="52"/>
  <c r="J161" i="52"/>
  <c r="H62" i="52"/>
  <c r="H74" i="52" s="1"/>
  <c r="G65" i="52"/>
  <c r="G77" i="52" s="1"/>
  <c r="F68" i="52"/>
  <c r="F80" i="52" s="1"/>
  <c r="C79" i="52"/>
  <c r="F258" i="52"/>
  <c r="G258" i="52" s="1"/>
  <c r="H258" i="52" s="1"/>
  <c r="N289" i="52" s="1"/>
  <c r="F260" i="52"/>
  <c r="G260" i="52" s="1"/>
  <c r="H260" i="52" s="1"/>
  <c r="N291" i="52" s="1"/>
  <c r="F262" i="52"/>
  <c r="G262" i="52" s="1"/>
  <c r="H262" i="52" s="1"/>
  <c r="N293" i="52" s="1"/>
  <c r="F264" i="52"/>
  <c r="G264" i="52" s="1"/>
  <c r="H264" i="52" s="1"/>
  <c r="N295" i="52" s="1"/>
  <c r="F266" i="52"/>
  <c r="G266" i="52" s="1"/>
  <c r="H266" i="52" s="1"/>
  <c r="N297" i="52" s="1"/>
  <c r="H297" i="52"/>
  <c r="D61" i="52"/>
  <c r="D73" i="52" s="1"/>
  <c r="H65" i="52"/>
  <c r="H77" i="52" s="1"/>
  <c r="G68" i="52"/>
  <c r="G80" i="52" s="1"/>
  <c r="J166" i="52"/>
  <c r="H68" i="52"/>
  <c r="H80" i="52" s="1"/>
  <c r="D145" i="52"/>
  <c r="N232" i="52"/>
  <c r="O232" i="52" s="1"/>
  <c r="G61" i="52"/>
  <c r="G73" i="52" s="1"/>
  <c r="F64" i="52"/>
  <c r="F76" i="52" s="1"/>
  <c r="E67" i="52"/>
  <c r="E79" i="52" s="1"/>
  <c r="J165" i="52"/>
  <c r="D60" i="52"/>
  <c r="D72" i="52" s="1"/>
  <c r="J158" i="51"/>
  <c r="E60" i="51"/>
  <c r="E72" i="51" s="1"/>
  <c r="I211" i="51"/>
  <c r="M211" i="51" s="1"/>
  <c r="N233" i="51"/>
  <c r="O233" i="51" s="1"/>
  <c r="N263" i="51"/>
  <c r="O263" i="51" s="1"/>
  <c r="R263" i="51" s="1"/>
  <c r="F60" i="51"/>
  <c r="F72" i="51" s="1"/>
  <c r="J159" i="51"/>
  <c r="I212" i="51"/>
  <c r="M212" i="51" s="1"/>
  <c r="N234" i="51"/>
  <c r="O234" i="51" s="1"/>
  <c r="N264" i="51"/>
  <c r="O264" i="51" s="1"/>
  <c r="H60" i="51"/>
  <c r="H72" i="51" s="1"/>
  <c r="N265" i="51"/>
  <c r="O265" i="51" s="1"/>
  <c r="R265" i="51" s="1"/>
  <c r="S225" i="51"/>
  <c r="N258" i="51"/>
  <c r="O258" i="51" s="1"/>
  <c r="R258" i="51" s="1"/>
  <c r="N266" i="51"/>
  <c r="O266" i="51" s="1"/>
  <c r="R266" i="51" s="1"/>
  <c r="H289" i="51"/>
  <c r="D59" i="51"/>
  <c r="D71" i="51" s="1"/>
  <c r="E126" i="51"/>
  <c r="E138" i="51" s="1"/>
  <c r="I138" i="51" s="1"/>
  <c r="F128" i="51"/>
  <c r="J162" i="51"/>
  <c r="N232" i="51"/>
  <c r="O232" i="51" s="1"/>
  <c r="E59" i="51"/>
  <c r="E71" i="51" s="1"/>
  <c r="C71" i="51"/>
  <c r="N259" i="51"/>
  <c r="O259" i="51" s="1"/>
  <c r="F59" i="51"/>
  <c r="F71" i="51" s="1"/>
  <c r="N227" i="51"/>
  <c r="O227" i="51" s="1"/>
  <c r="G59" i="51"/>
  <c r="G71" i="51" s="1"/>
  <c r="N260" i="51"/>
  <c r="O260" i="51" s="1"/>
  <c r="R260" i="51" s="1"/>
  <c r="I205" i="51"/>
  <c r="M205" i="51" s="1"/>
  <c r="H61" i="51"/>
  <c r="H73" i="51" s="1"/>
  <c r="C73" i="51"/>
  <c r="I206" i="51"/>
  <c r="M206" i="51" s="1"/>
  <c r="N261" i="51"/>
  <c r="O261" i="51" s="1"/>
  <c r="R261" i="51" s="1"/>
  <c r="I207" i="51"/>
  <c r="M207" i="51" s="1"/>
  <c r="N229" i="51"/>
  <c r="O229" i="51" s="1"/>
  <c r="H182" i="51"/>
  <c r="I209" i="51"/>
  <c r="M209" i="51" s="1"/>
  <c r="N230" i="51"/>
  <c r="O230" i="51" s="1"/>
  <c r="N262" i="51"/>
  <c r="O262" i="51" s="1"/>
  <c r="F265" i="51"/>
  <c r="G265" i="51" s="1"/>
  <c r="H265" i="51" s="1"/>
  <c r="N296" i="51" s="1"/>
  <c r="R264" i="51"/>
  <c r="S191" i="51"/>
  <c r="F263" i="51"/>
  <c r="G263" i="51" s="1"/>
  <c r="H263" i="51" s="1"/>
  <c r="N294" i="51" s="1"/>
  <c r="R262" i="51"/>
  <c r="F261" i="51"/>
  <c r="G261" i="51" s="1"/>
  <c r="H261" i="51" s="1"/>
  <c r="N292" i="51" s="1"/>
  <c r="S187" i="51"/>
  <c r="F259" i="51"/>
  <c r="G259" i="51" s="1"/>
  <c r="H259" i="51" s="1"/>
  <c r="N290" i="51" s="1"/>
  <c r="F257" i="51"/>
  <c r="G257" i="51" s="1"/>
  <c r="H257" i="51" s="1"/>
  <c r="N288" i="51" s="1"/>
  <c r="S185" i="51"/>
  <c r="E128" i="51"/>
  <c r="E127" i="51" a="1"/>
  <c r="E127" i="51" s="1"/>
  <c r="E135" i="51" s="1"/>
  <c r="I135" i="51" s="1"/>
  <c r="D145" i="51"/>
  <c r="F129" i="51"/>
  <c r="R259" i="51"/>
  <c r="R257" i="51"/>
  <c r="N231" i="51"/>
  <c r="O231" i="51" s="1"/>
  <c r="G60" i="51"/>
  <c r="G72" i="51" s="1"/>
  <c r="F63" i="51"/>
  <c r="F75" i="51" s="1"/>
  <c r="E66" i="51"/>
  <c r="E78" i="51" s="1"/>
  <c r="C78" i="51"/>
  <c r="S188" i="51"/>
  <c r="S192" i="51"/>
  <c r="F66" i="51"/>
  <c r="F78" i="51" s="1"/>
  <c r="J157" i="51"/>
  <c r="J163" i="51"/>
  <c r="N228" i="51"/>
  <c r="O228" i="51" s="1"/>
  <c r="N236" i="51"/>
  <c r="O236" i="51" s="1"/>
  <c r="G66" i="51"/>
  <c r="G78" i="51" s="1"/>
  <c r="F127" i="51"/>
  <c r="H66" i="51"/>
  <c r="H78" i="51" s="1"/>
  <c r="H293" i="51"/>
  <c r="D62" i="51"/>
  <c r="D74" i="51" s="1"/>
  <c r="E62" i="51"/>
  <c r="E74" i="51" s="1"/>
  <c r="D65" i="51"/>
  <c r="D77" i="51" s="1"/>
  <c r="C74" i="51"/>
  <c r="G62" i="51"/>
  <c r="G74" i="51" s="1"/>
  <c r="F65" i="51"/>
  <c r="F77" i="51" s="1"/>
  <c r="E68" i="51"/>
  <c r="E80" i="51" s="1"/>
  <c r="C72" i="51"/>
  <c r="J161" i="51"/>
  <c r="H292" i="51"/>
  <c r="AA32" i="51"/>
  <c r="H62" i="51"/>
  <c r="H74" i="51" s="1"/>
  <c r="G65" i="51"/>
  <c r="G77" i="51" s="1"/>
  <c r="F68" i="51"/>
  <c r="F80" i="51" s="1"/>
  <c r="C79" i="51"/>
  <c r="N235" i="51"/>
  <c r="O235" i="51" s="1"/>
  <c r="F258" i="51"/>
  <c r="G258" i="51" s="1"/>
  <c r="H258" i="51" s="1"/>
  <c r="N289" i="51" s="1"/>
  <c r="F260" i="51"/>
  <c r="G260" i="51" s="1"/>
  <c r="H260" i="51" s="1"/>
  <c r="N291" i="51" s="1"/>
  <c r="F262" i="51"/>
  <c r="G262" i="51" s="1"/>
  <c r="H262" i="51" s="1"/>
  <c r="N293" i="51" s="1"/>
  <c r="F264" i="51"/>
  <c r="G264" i="51" s="1"/>
  <c r="H264" i="51" s="1"/>
  <c r="N295" i="51" s="1"/>
  <c r="F266" i="51"/>
  <c r="G266" i="51" s="1"/>
  <c r="H266" i="51" s="1"/>
  <c r="N297" i="51" s="1"/>
  <c r="H297" i="51"/>
  <c r="D61" i="51"/>
  <c r="D73" i="51" s="1"/>
  <c r="H65" i="51"/>
  <c r="H77" i="51" s="1"/>
  <c r="G68" i="51"/>
  <c r="G80" i="51" s="1"/>
  <c r="J166" i="51"/>
  <c r="C77" i="51"/>
  <c r="J160" i="51"/>
  <c r="H296" i="51"/>
  <c r="E67" i="51"/>
  <c r="E79" i="51" s="1"/>
  <c r="J165" i="51"/>
  <c r="F67" i="51"/>
  <c r="F79" i="51" s="1"/>
  <c r="N257" i="50"/>
  <c r="O257" i="50" s="1"/>
  <c r="R264" i="50"/>
  <c r="R260" i="50"/>
  <c r="S191" i="50"/>
  <c r="S187" i="50"/>
  <c r="H289" i="50"/>
  <c r="S185" i="50"/>
  <c r="F257" i="50"/>
  <c r="G257" i="50" s="1"/>
  <c r="H257" i="50" s="1"/>
  <c r="N288" i="50" s="1"/>
  <c r="F128" i="50"/>
  <c r="E126" i="50"/>
  <c r="R261" i="50"/>
  <c r="R262" i="50"/>
  <c r="R257" i="50"/>
  <c r="R263" i="50"/>
  <c r="R258" i="50"/>
  <c r="R265" i="50"/>
  <c r="R259" i="50"/>
  <c r="R266" i="50"/>
  <c r="G60" i="50"/>
  <c r="G72" i="50" s="1"/>
  <c r="F63" i="50"/>
  <c r="F75" i="50" s="1"/>
  <c r="E127" i="50" a="1"/>
  <c r="E127" i="50" s="1"/>
  <c r="E136" i="50" s="1"/>
  <c r="I136" i="50" s="1"/>
  <c r="S188" i="50"/>
  <c r="S192" i="50"/>
  <c r="I209" i="50"/>
  <c r="M209" i="50" s="1"/>
  <c r="H294" i="50"/>
  <c r="J157" i="50"/>
  <c r="N228" i="50"/>
  <c r="O228" i="50" s="1"/>
  <c r="F127" i="50"/>
  <c r="F142" i="50" s="1"/>
  <c r="I142" i="50" s="1"/>
  <c r="E59" i="50"/>
  <c r="E71" i="50" s="1"/>
  <c r="D62" i="50"/>
  <c r="D74" i="50" s="1"/>
  <c r="H66" i="50"/>
  <c r="H78" i="50" s="1"/>
  <c r="E128" i="50"/>
  <c r="H293" i="50"/>
  <c r="C74" i="50"/>
  <c r="J162" i="50"/>
  <c r="G62" i="50"/>
  <c r="G74" i="50" s="1"/>
  <c r="E68" i="50"/>
  <c r="E80" i="50" s="1"/>
  <c r="C72" i="50"/>
  <c r="F140" i="50"/>
  <c r="I140" i="50" s="1"/>
  <c r="J161" i="50"/>
  <c r="I207" i="50"/>
  <c r="M207" i="50" s="1"/>
  <c r="H292" i="50"/>
  <c r="AA32" i="50"/>
  <c r="H62" i="50"/>
  <c r="H74" i="50" s="1"/>
  <c r="F68" i="50"/>
  <c r="F80" i="50" s="1"/>
  <c r="C79" i="50"/>
  <c r="F258" i="50"/>
  <c r="G258" i="50" s="1"/>
  <c r="H258" i="50" s="1"/>
  <c r="N289" i="50" s="1"/>
  <c r="F260" i="50"/>
  <c r="G260" i="50" s="1"/>
  <c r="H260" i="50" s="1"/>
  <c r="N291" i="50" s="1"/>
  <c r="F262" i="50"/>
  <c r="G262" i="50" s="1"/>
  <c r="H262" i="50" s="1"/>
  <c r="N293" i="50" s="1"/>
  <c r="F264" i="50"/>
  <c r="G264" i="50" s="1"/>
  <c r="H264" i="50" s="1"/>
  <c r="N295" i="50" s="1"/>
  <c r="F266" i="50"/>
  <c r="G266" i="50" s="1"/>
  <c r="H266" i="50" s="1"/>
  <c r="N297" i="50" s="1"/>
  <c r="H297" i="50"/>
  <c r="G68" i="50"/>
  <c r="G80" i="50" s="1"/>
  <c r="J166" i="50"/>
  <c r="H68" i="50"/>
  <c r="H80" i="50" s="1"/>
  <c r="H296" i="50"/>
  <c r="F64" i="50"/>
  <c r="F76" i="50" s="1"/>
  <c r="E67" i="50"/>
  <c r="E79" i="50" s="1"/>
  <c r="C75" i="50"/>
  <c r="J165" i="50"/>
  <c r="I208" i="50"/>
  <c r="M208" i="50" s="1"/>
  <c r="H284" i="50"/>
  <c r="G64" i="50"/>
  <c r="G76" i="50" s="1"/>
  <c r="F67" i="50"/>
  <c r="F79" i="50" s="1"/>
  <c r="H290" i="50"/>
  <c r="D60" i="50"/>
  <c r="D72" i="50" s="1"/>
  <c r="G67" i="50"/>
  <c r="G79" i="50" s="1"/>
  <c r="N265" i="49"/>
  <c r="O265" i="49" s="1"/>
  <c r="R258" i="49"/>
  <c r="R266" i="49"/>
  <c r="N234" i="49"/>
  <c r="O234" i="49" s="1"/>
  <c r="R265" i="49"/>
  <c r="F265" i="49"/>
  <c r="G265" i="49" s="1"/>
  <c r="H265" i="49" s="1"/>
  <c r="N296" i="49" s="1"/>
  <c r="S193" i="49"/>
  <c r="S192" i="49"/>
  <c r="H295" i="49"/>
  <c r="F261" i="49"/>
  <c r="G261" i="49" s="1"/>
  <c r="H261" i="49" s="1"/>
  <c r="N292" i="49" s="1"/>
  <c r="S189" i="49"/>
  <c r="S188" i="49"/>
  <c r="F259" i="49"/>
  <c r="G259" i="49" s="1"/>
  <c r="H259" i="49" s="1"/>
  <c r="N290" i="49" s="1"/>
  <c r="H289" i="49"/>
  <c r="S185" i="49"/>
  <c r="F129" i="49"/>
  <c r="E127" i="49" a="1"/>
  <c r="E127" i="49" s="1"/>
  <c r="E138" i="49" s="1"/>
  <c r="I138" i="49" s="1"/>
  <c r="E136" i="49"/>
  <c r="I136" i="49" s="1"/>
  <c r="R264" i="49"/>
  <c r="N227" i="49"/>
  <c r="O227" i="49" s="1"/>
  <c r="N228" i="49"/>
  <c r="O228" i="49" s="1"/>
  <c r="R260" i="49"/>
  <c r="N229" i="49"/>
  <c r="O229" i="49" s="1"/>
  <c r="R262" i="49"/>
  <c r="N235" i="49"/>
  <c r="O235" i="49" s="1"/>
  <c r="D59" i="49"/>
  <c r="D71" i="49" s="1"/>
  <c r="H63" i="49"/>
  <c r="H75" i="49" s="1"/>
  <c r="G66" i="49"/>
  <c r="G78" i="49" s="1"/>
  <c r="F127" i="49"/>
  <c r="F142" i="49" s="1"/>
  <c r="I142" i="49" s="1"/>
  <c r="H288" i="49"/>
  <c r="E59" i="49"/>
  <c r="E71" i="49" s="1"/>
  <c r="N233" i="49"/>
  <c r="O233" i="49" s="1"/>
  <c r="N259" i="49"/>
  <c r="O259" i="49" s="1"/>
  <c r="R259" i="49" s="1"/>
  <c r="N261" i="49"/>
  <c r="O261" i="49" s="1"/>
  <c r="R261" i="49" s="1"/>
  <c r="N263" i="49"/>
  <c r="O263" i="49" s="1"/>
  <c r="R263" i="49" s="1"/>
  <c r="H293" i="49"/>
  <c r="F128" i="49"/>
  <c r="G59" i="49"/>
  <c r="G71" i="49" s="1"/>
  <c r="F62" i="49"/>
  <c r="F74" i="49" s="1"/>
  <c r="E65" i="49"/>
  <c r="E77" i="49" s="1"/>
  <c r="D68" i="49"/>
  <c r="D80" i="49" s="1"/>
  <c r="E129" i="49"/>
  <c r="E135" i="49" s="1"/>
  <c r="I135" i="49" s="1"/>
  <c r="I210" i="49"/>
  <c r="M210" i="49" s="1"/>
  <c r="J157" i="49"/>
  <c r="F59" i="49"/>
  <c r="F71" i="49" s="1"/>
  <c r="G62" i="49"/>
  <c r="G74" i="49" s="1"/>
  <c r="F65" i="49"/>
  <c r="F77" i="49" s="1"/>
  <c r="E68" i="49"/>
  <c r="E80" i="49" s="1"/>
  <c r="C72" i="49"/>
  <c r="J161" i="49"/>
  <c r="I207" i="49"/>
  <c r="M207" i="49" s="1"/>
  <c r="H62" i="49"/>
  <c r="H74" i="49" s="1"/>
  <c r="G65" i="49"/>
  <c r="G77" i="49" s="1"/>
  <c r="F68" i="49"/>
  <c r="F80" i="49" s="1"/>
  <c r="F258" i="49"/>
  <c r="G258" i="49" s="1"/>
  <c r="H258" i="49" s="1"/>
  <c r="N289" i="49" s="1"/>
  <c r="F260" i="49"/>
  <c r="G260" i="49" s="1"/>
  <c r="H260" i="49" s="1"/>
  <c r="N291" i="49" s="1"/>
  <c r="F262" i="49"/>
  <c r="G262" i="49" s="1"/>
  <c r="H262" i="49" s="1"/>
  <c r="N293" i="49" s="1"/>
  <c r="F266" i="49"/>
  <c r="G266" i="49" s="1"/>
  <c r="H266" i="49" s="1"/>
  <c r="N297" i="49" s="1"/>
  <c r="H297" i="49"/>
  <c r="D61" i="49"/>
  <c r="D73" i="49" s="1"/>
  <c r="H65" i="49"/>
  <c r="H77" i="49" s="1"/>
  <c r="G68" i="49"/>
  <c r="G80" i="49" s="1"/>
  <c r="J166" i="49"/>
  <c r="H68" i="49"/>
  <c r="H80" i="49" s="1"/>
  <c r="D145" i="49"/>
  <c r="I214" i="49"/>
  <c r="M214" i="49" s="1"/>
  <c r="N231" i="49"/>
  <c r="O231" i="49" s="1"/>
  <c r="C75" i="49"/>
  <c r="H284" i="49"/>
  <c r="H290" i="49"/>
  <c r="D60" i="49"/>
  <c r="D72" i="49" s="1"/>
  <c r="S185" i="48"/>
  <c r="E135" i="48"/>
  <c r="I135" i="48" s="1"/>
  <c r="D158" i="48" s="1"/>
  <c r="H67" i="48"/>
  <c r="H79" i="48" s="1"/>
  <c r="D67" i="48"/>
  <c r="D79" i="48" s="1"/>
  <c r="J158" i="48"/>
  <c r="D59" i="48"/>
  <c r="D71" i="48" s="1"/>
  <c r="F59" i="48"/>
  <c r="F71" i="48" s="1"/>
  <c r="H59" i="48"/>
  <c r="H71" i="48" s="1"/>
  <c r="E59" i="48"/>
  <c r="E71" i="48" s="1"/>
  <c r="C71" i="48"/>
  <c r="G59" i="48"/>
  <c r="G71" i="48" s="1"/>
  <c r="E60" i="48"/>
  <c r="E72" i="48" s="1"/>
  <c r="F60" i="48"/>
  <c r="F72" i="48" s="1"/>
  <c r="C72" i="48"/>
  <c r="H60" i="48"/>
  <c r="H72" i="48" s="1"/>
  <c r="E61" i="48"/>
  <c r="E73" i="48" s="1"/>
  <c r="F61" i="48"/>
  <c r="F73" i="48" s="1"/>
  <c r="H61" i="48"/>
  <c r="H73" i="48" s="1"/>
  <c r="D64" i="48"/>
  <c r="D76" i="48" s="1"/>
  <c r="C76" i="48"/>
  <c r="D63" i="48"/>
  <c r="D75" i="48" s="1"/>
  <c r="H63" i="48"/>
  <c r="H75" i="48" s="1"/>
  <c r="F63" i="48"/>
  <c r="F75" i="48" s="1"/>
  <c r="E63" i="48"/>
  <c r="E75" i="48" s="1"/>
  <c r="G63" i="48"/>
  <c r="G75" i="48" s="1"/>
  <c r="E64" i="48"/>
  <c r="E76" i="48" s="1"/>
  <c r="G64" i="48"/>
  <c r="G76" i="48" s="1"/>
  <c r="N265" i="48"/>
  <c r="O265" i="48" s="1"/>
  <c r="R265" i="48" s="1"/>
  <c r="N263" i="48"/>
  <c r="O263" i="48" s="1"/>
  <c r="R263" i="48" s="1"/>
  <c r="N261" i="48"/>
  <c r="O261" i="48" s="1"/>
  <c r="R261" i="48" s="1"/>
  <c r="N259" i="48"/>
  <c r="O259" i="48" s="1"/>
  <c r="R259" i="48" s="1"/>
  <c r="N257" i="48"/>
  <c r="O257" i="48" s="1"/>
  <c r="R257" i="48" s="1"/>
  <c r="N236" i="48"/>
  <c r="O236" i="48" s="1"/>
  <c r="N258" i="48"/>
  <c r="O258" i="48" s="1"/>
  <c r="R258" i="48" s="1"/>
  <c r="N232" i="48"/>
  <c r="O232" i="48" s="1"/>
  <c r="N266" i="48"/>
  <c r="O266" i="48" s="1"/>
  <c r="R266" i="48" s="1"/>
  <c r="K141" i="48"/>
  <c r="D164" i="48"/>
  <c r="N260" i="48"/>
  <c r="O260" i="48" s="1"/>
  <c r="R260" i="48" s="1"/>
  <c r="N227" i="48"/>
  <c r="O227" i="48" s="1"/>
  <c r="F142" i="48"/>
  <c r="I142" i="48" s="1"/>
  <c r="F66" i="48"/>
  <c r="F78" i="48" s="1"/>
  <c r="F139" i="48"/>
  <c r="I139" i="48" s="1"/>
  <c r="J163" i="48"/>
  <c r="E136" i="48"/>
  <c r="I136" i="48" s="1"/>
  <c r="H288" i="48"/>
  <c r="N233" i="48"/>
  <c r="O233" i="48" s="1"/>
  <c r="H293" i="48"/>
  <c r="J162" i="48"/>
  <c r="N231" i="48"/>
  <c r="O231" i="48" s="1"/>
  <c r="D62" i="48"/>
  <c r="D74" i="48" s="1"/>
  <c r="E62" i="48"/>
  <c r="E74" i="48" s="1"/>
  <c r="I210" i="48"/>
  <c r="M210" i="48" s="1"/>
  <c r="F140" i="48"/>
  <c r="I140" i="48" s="1"/>
  <c r="J161" i="48"/>
  <c r="I207" i="48"/>
  <c r="M207" i="48" s="1"/>
  <c r="D66" i="48"/>
  <c r="D78" i="48" s="1"/>
  <c r="E65" i="48"/>
  <c r="E77" i="48" s="1"/>
  <c r="F65" i="48"/>
  <c r="F77" i="48" s="1"/>
  <c r="AA32" i="48"/>
  <c r="H62" i="48"/>
  <c r="H74" i="48" s="1"/>
  <c r="G65" i="48"/>
  <c r="G77" i="48" s="1"/>
  <c r="F68" i="48"/>
  <c r="F80" i="48" s="1"/>
  <c r="C79" i="48"/>
  <c r="E137" i="48"/>
  <c r="I137" i="48" s="1"/>
  <c r="F258" i="48"/>
  <c r="G258" i="48" s="1"/>
  <c r="H258" i="48" s="1"/>
  <c r="N289" i="48" s="1"/>
  <c r="F260" i="48"/>
  <c r="G260" i="48" s="1"/>
  <c r="H260" i="48" s="1"/>
  <c r="N291" i="48" s="1"/>
  <c r="F262" i="48"/>
  <c r="G262" i="48" s="1"/>
  <c r="H262" i="48" s="1"/>
  <c r="N293" i="48" s="1"/>
  <c r="F264" i="48"/>
  <c r="G264" i="48" s="1"/>
  <c r="H264" i="48" s="1"/>
  <c r="N295" i="48" s="1"/>
  <c r="F266" i="48"/>
  <c r="G266" i="48" s="1"/>
  <c r="H266" i="48" s="1"/>
  <c r="N297" i="48" s="1"/>
  <c r="H297" i="48"/>
  <c r="H66" i="48"/>
  <c r="H78" i="48" s="1"/>
  <c r="D68" i="48"/>
  <c r="D80" i="48" s="1"/>
  <c r="F143" i="48"/>
  <c r="I143" i="48" s="1"/>
  <c r="E68" i="48"/>
  <c r="E80" i="48" s="1"/>
  <c r="D61" i="48"/>
  <c r="D73" i="48" s="1"/>
  <c r="H65" i="48"/>
  <c r="H77" i="48" s="1"/>
  <c r="G68" i="48"/>
  <c r="G80" i="48" s="1"/>
  <c r="E134" i="48"/>
  <c r="I134" i="48" s="1"/>
  <c r="J166" i="48"/>
  <c r="D65" i="48"/>
  <c r="D77" i="48" s="1"/>
  <c r="G62" i="48"/>
  <c r="G74" i="48" s="1"/>
  <c r="J160" i="48"/>
  <c r="C78" i="48"/>
  <c r="E66" i="48"/>
  <c r="E78" i="48" s="1"/>
  <c r="G66" i="48"/>
  <c r="G78" i="48" s="1"/>
  <c r="G61" i="48"/>
  <c r="G73" i="48" s="1"/>
  <c r="F64" i="48"/>
  <c r="F76" i="48" s="1"/>
  <c r="E67" i="48"/>
  <c r="E79" i="48" s="1"/>
  <c r="J165" i="48"/>
  <c r="F67" i="48"/>
  <c r="F79" i="48" s="1"/>
  <c r="E138" i="48"/>
  <c r="I138" i="48" s="1"/>
  <c r="J159" i="48"/>
  <c r="C74" i="48"/>
  <c r="L297" i="47"/>
  <c r="P297" i="47" s="1"/>
  <c r="L296" i="47"/>
  <c r="P296" i="47" s="1"/>
  <c r="L295" i="47"/>
  <c r="P295" i="47" s="1"/>
  <c r="L294" i="47"/>
  <c r="P294" i="47" s="1"/>
  <c r="I294" i="47"/>
  <c r="H294" i="47"/>
  <c r="L293" i="47"/>
  <c r="P293" i="47" s="1"/>
  <c r="L292" i="47"/>
  <c r="P292" i="47" s="1"/>
  <c r="J292" i="47"/>
  <c r="L291" i="47"/>
  <c r="P291" i="47" s="1"/>
  <c r="L290" i="47"/>
  <c r="P290" i="47" s="1"/>
  <c r="L289" i="47"/>
  <c r="P289" i="47" s="1"/>
  <c r="I289" i="47"/>
  <c r="H289" i="47"/>
  <c r="L288" i="47"/>
  <c r="P288" i="47" s="1"/>
  <c r="B285" i="47"/>
  <c r="I283" i="47"/>
  <c r="C282" i="47"/>
  <c r="D281" i="47"/>
  <c r="C281" i="47"/>
  <c r="B281" i="47"/>
  <c r="D280" i="47"/>
  <c r="B280" i="47"/>
  <c r="E279" i="47"/>
  <c r="B279" i="47"/>
  <c r="E278" i="47"/>
  <c r="B278" i="47"/>
  <c r="B277" i="47"/>
  <c r="Q266" i="47"/>
  <c r="L266" i="47"/>
  <c r="N266" i="47" s="1"/>
  <c r="O266" i="47" s="1"/>
  <c r="R266" i="47" s="1"/>
  <c r="Q265" i="47"/>
  <c r="L265" i="47"/>
  <c r="N265" i="47" s="1"/>
  <c r="O265" i="47" s="1"/>
  <c r="R265" i="47" s="1"/>
  <c r="Q264" i="47"/>
  <c r="L264" i="47"/>
  <c r="N264" i="47" s="1"/>
  <c r="O264" i="47" s="1"/>
  <c r="Q263" i="47"/>
  <c r="L263" i="47"/>
  <c r="N263" i="47" s="1"/>
  <c r="O263" i="47" s="1"/>
  <c r="R263" i="47" s="1"/>
  <c r="H263" i="47"/>
  <c r="N294" i="47" s="1"/>
  <c r="G263" i="47"/>
  <c r="F263" i="47"/>
  <c r="Q262" i="47"/>
  <c r="L262" i="47"/>
  <c r="N262" i="47" s="1"/>
  <c r="O262" i="47" s="1"/>
  <c r="Q261" i="47"/>
  <c r="L261" i="47"/>
  <c r="N261" i="47" s="1"/>
  <c r="O261" i="47" s="1"/>
  <c r="R261" i="47" s="1"/>
  <c r="Q260" i="47"/>
  <c r="R260" i="47" s="1"/>
  <c r="L260" i="47"/>
  <c r="N260" i="47" s="1"/>
  <c r="O260" i="47" s="1"/>
  <c r="Q259" i="47"/>
  <c r="L259" i="47"/>
  <c r="N259" i="47" s="1"/>
  <c r="O259" i="47" s="1"/>
  <c r="Q258" i="47"/>
  <c r="L258" i="47"/>
  <c r="N258" i="47" s="1"/>
  <c r="O258" i="47" s="1"/>
  <c r="B258" i="47"/>
  <c r="Q257" i="47"/>
  <c r="M257" i="47"/>
  <c r="L257" i="47"/>
  <c r="N257" i="47" s="1"/>
  <c r="O257" i="47" s="1"/>
  <c r="B257" i="47"/>
  <c r="B256" i="47"/>
  <c r="R250" i="47"/>
  <c r="R249" i="47"/>
  <c r="R248" i="47"/>
  <c r="R247" i="47"/>
  <c r="R246" i="47"/>
  <c r="R245" i="47"/>
  <c r="R244" i="47"/>
  <c r="R243" i="47"/>
  <c r="R242" i="47"/>
  <c r="R241" i="47"/>
  <c r="L236" i="47"/>
  <c r="L235" i="47"/>
  <c r="N235" i="47" s="1"/>
  <c r="O235" i="47" s="1"/>
  <c r="L234" i="47"/>
  <c r="N234" i="47" s="1"/>
  <c r="O234" i="47" s="1"/>
  <c r="L233" i="47"/>
  <c r="N233" i="47" s="1"/>
  <c r="O233" i="47" s="1"/>
  <c r="L232" i="47"/>
  <c r="L231" i="47"/>
  <c r="L230" i="47"/>
  <c r="N230" i="47" s="1"/>
  <c r="O230" i="47" s="1"/>
  <c r="L229" i="47"/>
  <c r="N229" i="47" s="1"/>
  <c r="O229" i="47" s="1"/>
  <c r="L228" i="47"/>
  <c r="B228" i="47"/>
  <c r="L227" i="47"/>
  <c r="B227" i="47"/>
  <c r="M227" i="47" s="1"/>
  <c r="B226" i="47"/>
  <c r="I213" i="47"/>
  <c r="M213" i="47" s="1"/>
  <c r="M212" i="47"/>
  <c r="I212" i="47"/>
  <c r="I211" i="47"/>
  <c r="M211" i="47" s="1"/>
  <c r="I210" i="47"/>
  <c r="M210" i="47" s="1"/>
  <c r="I209" i="47"/>
  <c r="M209" i="47" s="1"/>
  <c r="I207" i="47"/>
  <c r="M207" i="47" s="1"/>
  <c r="I206" i="47"/>
  <c r="M206" i="47" s="1"/>
  <c r="I205" i="47"/>
  <c r="M205" i="47" s="1"/>
  <c r="H205" i="47"/>
  <c r="I208" i="47" s="1"/>
  <c r="M208" i="47" s="1"/>
  <c r="R203" i="47"/>
  <c r="Q203" i="47"/>
  <c r="M194" i="47"/>
  <c r="I297" i="47" s="1"/>
  <c r="L194" i="47"/>
  <c r="I194" i="47"/>
  <c r="G194" i="47"/>
  <c r="S194" i="47" s="1"/>
  <c r="M193" i="47"/>
  <c r="I296" i="47" s="1"/>
  <c r="L193" i="47"/>
  <c r="J296" i="47" s="1"/>
  <c r="I193" i="47"/>
  <c r="G193" i="47"/>
  <c r="S193" i="47" s="1"/>
  <c r="M192" i="47"/>
  <c r="I295" i="47" s="1"/>
  <c r="L192" i="47"/>
  <c r="J295" i="47" s="1"/>
  <c r="I192" i="47"/>
  <c r="G192" i="47"/>
  <c r="H295" i="47" s="1"/>
  <c r="S191" i="47"/>
  <c r="M191" i="47"/>
  <c r="L191" i="47"/>
  <c r="J294" i="47" s="1"/>
  <c r="I191" i="47"/>
  <c r="G191" i="47"/>
  <c r="S190" i="47"/>
  <c r="M190" i="47"/>
  <c r="I293" i="47" s="1"/>
  <c r="L190" i="47"/>
  <c r="J293" i="47" s="1"/>
  <c r="I190" i="47"/>
  <c r="G190" i="47"/>
  <c r="F262" i="47" s="1"/>
  <c r="G262" i="47" s="1"/>
  <c r="H262" i="47" s="1"/>
  <c r="N293" i="47" s="1"/>
  <c r="M189" i="47"/>
  <c r="I292" i="47" s="1"/>
  <c r="L189" i="47"/>
  <c r="I189" i="47"/>
  <c r="G189" i="47"/>
  <c r="F261" i="47" s="1"/>
  <c r="G261" i="47" s="1"/>
  <c r="H261" i="47" s="1"/>
  <c r="N292" i="47" s="1"/>
  <c r="M188" i="47"/>
  <c r="I291" i="47" s="1"/>
  <c r="L188" i="47"/>
  <c r="J291" i="47" s="1"/>
  <c r="I188" i="47"/>
  <c r="G188" i="47"/>
  <c r="S188" i="47" s="1"/>
  <c r="M187" i="47"/>
  <c r="I290" i="47" s="1"/>
  <c r="L187" i="47"/>
  <c r="J290" i="47" s="1"/>
  <c r="I187" i="47"/>
  <c r="G187" i="47"/>
  <c r="H290" i="47" s="1"/>
  <c r="S186" i="47"/>
  <c r="M186" i="47"/>
  <c r="L186" i="47"/>
  <c r="J289" i="47" s="1"/>
  <c r="J186" i="47"/>
  <c r="J187" i="47" s="1"/>
  <c r="J188" i="47" s="1"/>
  <c r="J189" i="47" s="1"/>
  <c r="J190" i="47" s="1"/>
  <c r="J191" i="47" s="1"/>
  <c r="J192" i="47" s="1"/>
  <c r="J193" i="47" s="1"/>
  <c r="J194" i="47" s="1"/>
  <c r="I186" i="47"/>
  <c r="G186" i="47"/>
  <c r="F258" i="47" s="1"/>
  <c r="G258" i="47" s="1"/>
  <c r="H258" i="47" s="1"/>
  <c r="N289" i="47" s="1"/>
  <c r="M185" i="47"/>
  <c r="I288" i="47" s="1"/>
  <c r="L185" i="47"/>
  <c r="D185" i="47" s="1"/>
  <c r="I185" i="47"/>
  <c r="G185" i="47"/>
  <c r="F257" i="47" s="1"/>
  <c r="G257" i="47" s="1"/>
  <c r="H257" i="47" s="1"/>
  <c r="N288" i="47" s="1"/>
  <c r="I179" i="47"/>
  <c r="G166" i="47"/>
  <c r="H166" i="47" s="1"/>
  <c r="H165" i="47"/>
  <c r="G165" i="47"/>
  <c r="G164" i="47"/>
  <c r="H164" i="47" s="1"/>
  <c r="H163" i="47"/>
  <c r="G163" i="47"/>
  <c r="H162" i="47"/>
  <c r="G162" i="47"/>
  <c r="Y161" i="47"/>
  <c r="H161" i="47"/>
  <c r="G161" i="47"/>
  <c r="H160" i="47"/>
  <c r="G160" i="47"/>
  <c r="J159" i="47"/>
  <c r="G159" i="47"/>
  <c r="H159" i="47" s="1"/>
  <c r="H158" i="47"/>
  <c r="G158" i="47"/>
  <c r="Y157" i="47"/>
  <c r="H157" i="47"/>
  <c r="G157" i="47"/>
  <c r="J155" i="47"/>
  <c r="S225" i="47" s="1"/>
  <c r="J143" i="47"/>
  <c r="D143" i="47"/>
  <c r="J142" i="47"/>
  <c r="D142" i="47"/>
  <c r="J141" i="47"/>
  <c r="D141" i="47"/>
  <c r="J140" i="47"/>
  <c r="D140" i="47"/>
  <c r="F129" i="47" s="1"/>
  <c r="J139" i="47"/>
  <c r="D139" i="47"/>
  <c r="J138" i="47"/>
  <c r="D138" i="47"/>
  <c r="J137" i="47"/>
  <c r="D137" i="47"/>
  <c r="J136" i="47"/>
  <c r="D136" i="47"/>
  <c r="J135" i="47"/>
  <c r="D135" i="47"/>
  <c r="J134" i="47"/>
  <c r="D134" i="47"/>
  <c r="F128" i="47"/>
  <c r="F126" i="47"/>
  <c r="E117" i="47"/>
  <c r="E116" i="47"/>
  <c r="E115" i="47"/>
  <c r="E114" i="47"/>
  <c r="E113" i="47"/>
  <c r="E112" i="47"/>
  <c r="E111" i="47"/>
  <c r="E110" i="47"/>
  <c r="E109" i="47"/>
  <c r="I80" i="47"/>
  <c r="C80" i="47"/>
  <c r="I79" i="47"/>
  <c r="D79" i="47"/>
  <c r="I78" i="47"/>
  <c r="I77" i="47"/>
  <c r="H77" i="47"/>
  <c r="I76" i="47"/>
  <c r="C76" i="47"/>
  <c r="I75" i="47"/>
  <c r="F75" i="47"/>
  <c r="I74" i="47"/>
  <c r="C74" i="47"/>
  <c r="I73" i="47"/>
  <c r="H73" i="47"/>
  <c r="F73" i="47"/>
  <c r="E73" i="47"/>
  <c r="D73" i="47"/>
  <c r="I72" i="47"/>
  <c r="I71" i="47"/>
  <c r="H71" i="47"/>
  <c r="C71" i="47"/>
  <c r="T68" i="47"/>
  <c r="R68" i="47"/>
  <c r="P68" i="47"/>
  <c r="N68" i="47"/>
  <c r="L68" i="47"/>
  <c r="C68" i="47"/>
  <c r="H68" i="47" s="1"/>
  <c r="H80" i="47" s="1"/>
  <c r="T67" i="47"/>
  <c r="R67" i="47"/>
  <c r="P67" i="47"/>
  <c r="N67" i="47"/>
  <c r="L67" i="47"/>
  <c r="H67" i="47"/>
  <c r="H79" i="47" s="1"/>
  <c r="F67" i="47"/>
  <c r="F79" i="47" s="1"/>
  <c r="D67" i="47"/>
  <c r="C67" i="47"/>
  <c r="G67" i="47" s="1"/>
  <c r="G79" i="47" s="1"/>
  <c r="T66" i="47"/>
  <c r="R66" i="47"/>
  <c r="P66" i="47"/>
  <c r="N66" i="47"/>
  <c r="L66" i="47"/>
  <c r="C66" i="47"/>
  <c r="F66" i="47" s="1"/>
  <c r="F78" i="47" s="1"/>
  <c r="T65" i="47"/>
  <c r="R65" i="47"/>
  <c r="P65" i="47"/>
  <c r="N65" i="47"/>
  <c r="L65" i="47"/>
  <c r="H65" i="47"/>
  <c r="E65" i="47"/>
  <c r="E77" i="47" s="1"/>
  <c r="D65" i="47"/>
  <c r="D77" i="47" s="1"/>
  <c r="C65" i="47"/>
  <c r="J163" i="47" s="1"/>
  <c r="T64" i="47"/>
  <c r="R64" i="47"/>
  <c r="P64" i="47"/>
  <c r="N64" i="47"/>
  <c r="L64" i="47"/>
  <c r="C64" i="47"/>
  <c r="H64" i="47" s="1"/>
  <c r="H76" i="47" s="1"/>
  <c r="T63" i="47"/>
  <c r="R63" i="47"/>
  <c r="P63" i="47"/>
  <c r="N63" i="47"/>
  <c r="L63" i="47"/>
  <c r="H63" i="47"/>
  <c r="H75" i="47" s="1"/>
  <c r="F63" i="47"/>
  <c r="E63" i="47"/>
  <c r="E75" i="47" s="1"/>
  <c r="D63" i="47"/>
  <c r="D75" i="47" s="1"/>
  <c r="C63" i="47"/>
  <c r="G63" i="47" s="1"/>
  <c r="G75" i="47" s="1"/>
  <c r="T62" i="47"/>
  <c r="R62" i="47"/>
  <c r="P62" i="47"/>
  <c r="N62" i="47"/>
  <c r="L62" i="47"/>
  <c r="E62" i="47"/>
  <c r="E74" i="47" s="1"/>
  <c r="C62" i="47"/>
  <c r="J160" i="47" s="1"/>
  <c r="T61" i="47"/>
  <c r="R61" i="47"/>
  <c r="P61" i="47"/>
  <c r="N61" i="47"/>
  <c r="L61" i="47"/>
  <c r="H61" i="47"/>
  <c r="F61" i="47"/>
  <c r="E61" i="47"/>
  <c r="D61" i="47"/>
  <c r="C61" i="47"/>
  <c r="C73" i="47" s="1"/>
  <c r="T60" i="47"/>
  <c r="R60" i="47"/>
  <c r="P60" i="47"/>
  <c r="N60" i="47"/>
  <c r="L60" i="47"/>
  <c r="G60" i="47"/>
  <c r="G72" i="47" s="1"/>
  <c r="F60" i="47"/>
  <c r="F72" i="47" s="1"/>
  <c r="E60" i="47"/>
  <c r="E72" i="47" s="1"/>
  <c r="C60" i="47"/>
  <c r="H60" i="47" s="1"/>
  <c r="H72" i="47" s="1"/>
  <c r="T59" i="47"/>
  <c r="R59" i="47"/>
  <c r="P59" i="47"/>
  <c r="N59" i="47"/>
  <c r="L59" i="47"/>
  <c r="H59" i="47"/>
  <c r="G59" i="47"/>
  <c r="G71" i="47" s="1"/>
  <c r="F59" i="47"/>
  <c r="F71" i="47" s="1"/>
  <c r="E59" i="47"/>
  <c r="E71" i="47" s="1"/>
  <c r="D59" i="47"/>
  <c r="D71" i="47" s="1"/>
  <c r="C59" i="47"/>
  <c r="J157" i="47" s="1"/>
  <c r="W47" i="47"/>
  <c r="Y46" i="47"/>
  <c r="W46" i="47"/>
  <c r="W45" i="47"/>
  <c r="X40" i="47"/>
  <c r="W40" i="47"/>
  <c r="X39" i="47"/>
  <c r="W39" i="47"/>
  <c r="F39" i="47"/>
  <c r="E39" i="47"/>
  <c r="W38" i="47"/>
  <c r="X38" i="47" s="1"/>
  <c r="F38" i="47"/>
  <c r="E38" i="47"/>
  <c r="F37" i="47"/>
  <c r="E37" i="47"/>
  <c r="F36" i="47"/>
  <c r="E36" i="47"/>
  <c r="F35" i="47"/>
  <c r="E35" i="47"/>
  <c r="F34" i="47"/>
  <c r="E34" i="47"/>
  <c r="F33" i="47"/>
  <c r="E33" i="47"/>
  <c r="X32" i="47"/>
  <c r="U32" i="47"/>
  <c r="AA34" i="47" s="1"/>
  <c r="F32" i="47"/>
  <c r="E32" i="47"/>
  <c r="F31" i="47"/>
  <c r="E31" i="47"/>
  <c r="F30" i="47"/>
  <c r="E30" i="47"/>
  <c r="D20" i="47"/>
  <c r="C20" i="47"/>
  <c r="R13" i="47"/>
  <c r="Q10" i="47"/>
  <c r="P10" i="47"/>
  <c r="L186" i="46"/>
  <c r="L187" i="46"/>
  <c r="L188" i="46"/>
  <c r="L189" i="46"/>
  <c r="L190" i="46"/>
  <c r="L191" i="46"/>
  <c r="L192" i="46"/>
  <c r="L193" i="46"/>
  <c r="L194" i="46"/>
  <c r="L185" i="46"/>
  <c r="D185" i="46" s="1"/>
  <c r="E185" i="46"/>
  <c r="M186" i="46"/>
  <c r="M187" i="46"/>
  <c r="I290" i="46" s="1"/>
  <c r="M188" i="46"/>
  <c r="I291" i="46" s="1"/>
  <c r="M189" i="46"/>
  <c r="I292" i="46" s="1"/>
  <c r="M190" i="46"/>
  <c r="M191" i="46"/>
  <c r="I294" i="46" s="1"/>
  <c r="M192" i="46"/>
  <c r="I295" i="46" s="1"/>
  <c r="M193" i="46"/>
  <c r="M194" i="46"/>
  <c r="M185" i="46"/>
  <c r="J158" i="46"/>
  <c r="J159" i="46"/>
  <c r="J160" i="46"/>
  <c r="J161" i="46"/>
  <c r="J162" i="46"/>
  <c r="J163" i="46"/>
  <c r="J164" i="46"/>
  <c r="J165" i="46"/>
  <c r="J166" i="46"/>
  <c r="J157" i="46"/>
  <c r="F157" i="46"/>
  <c r="D157" i="46"/>
  <c r="F139" i="46"/>
  <c r="I297" i="46"/>
  <c r="I289" i="46"/>
  <c r="L297" i="46"/>
  <c r="P297" i="46" s="1"/>
  <c r="P296" i="46"/>
  <c r="L296" i="46"/>
  <c r="I296" i="46"/>
  <c r="L295" i="46"/>
  <c r="P295" i="46" s="1"/>
  <c r="L294" i="46"/>
  <c r="P294" i="46" s="1"/>
  <c r="L293" i="46"/>
  <c r="P293" i="46" s="1"/>
  <c r="L292" i="46"/>
  <c r="P292" i="46" s="1"/>
  <c r="L291" i="46"/>
  <c r="P291" i="46" s="1"/>
  <c r="L290" i="46"/>
  <c r="P290" i="46" s="1"/>
  <c r="L289" i="46"/>
  <c r="P289" i="46" s="1"/>
  <c r="L288" i="46"/>
  <c r="P288" i="46" s="1"/>
  <c r="I288" i="46"/>
  <c r="B285" i="46"/>
  <c r="I283" i="46"/>
  <c r="C282" i="46"/>
  <c r="D281" i="46"/>
  <c r="C281" i="46"/>
  <c r="B281" i="46"/>
  <c r="D280" i="46"/>
  <c r="B280" i="46"/>
  <c r="E279" i="46"/>
  <c r="B279" i="46"/>
  <c r="E278" i="46"/>
  <c r="B278" i="46"/>
  <c r="B277" i="46"/>
  <c r="Q266" i="46"/>
  <c r="L266" i="46"/>
  <c r="Q265" i="46"/>
  <c r="L265" i="46"/>
  <c r="Q264" i="46"/>
  <c r="L264" i="46"/>
  <c r="Q263" i="46"/>
  <c r="L263" i="46"/>
  <c r="Q262" i="46"/>
  <c r="L262" i="46"/>
  <c r="Q261" i="46"/>
  <c r="L261" i="46"/>
  <c r="Q260" i="46"/>
  <c r="L260" i="46"/>
  <c r="Q259" i="46"/>
  <c r="L259" i="46"/>
  <c r="Q258" i="46"/>
  <c r="L258" i="46"/>
  <c r="B258" i="46"/>
  <c r="Q257" i="46"/>
  <c r="L257" i="46"/>
  <c r="B257" i="46"/>
  <c r="M257" i="46" s="1"/>
  <c r="B256" i="46"/>
  <c r="R250" i="46"/>
  <c r="R249" i="46"/>
  <c r="R248" i="46"/>
  <c r="R247" i="46"/>
  <c r="R246" i="46"/>
  <c r="R245" i="46"/>
  <c r="R244" i="46"/>
  <c r="R243" i="46"/>
  <c r="R242" i="46"/>
  <c r="R241" i="46"/>
  <c r="L236" i="46"/>
  <c r="L235" i="46"/>
  <c r="L234" i="46"/>
  <c r="L233" i="46"/>
  <c r="L232" i="46"/>
  <c r="L231" i="46"/>
  <c r="L230" i="46"/>
  <c r="L229" i="46"/>
  <c r="L228" i="46"/>
  <c r="B228" i="46"/>
  <c r="L227" i="46"/>
  <c r="B227" i="46"/>
  <c r="M227" i="46" s="1"/>
  <c r="B226" i="46"/>
  <c r="I207" i="46"/>
  <c r="M207" i="46" s="1"/>
  <c r="I206" i="46"/>
  <c r="M206" i="46" s="1"/>
  <c r="H205" i="46"/>
  <c r="I205" i="46" s="1"/>
  <c r="M205" i="46" s="1"/>
  <c r="R203" i="46"/>
  <c r="Q203" i="46"/>
  <c r="I194" i="46"/>
  <c r="G194" i="46"/>
  <c r="S194" i="46" s="1"/>
  <c r="X193" i="46"/>
  <c r="I193" i="46"/>
  <c r="G193" i="46"/>
  <c r="S193" i="46" s="1"/>
  <c r="I192" i="46"/>
  <c r="G192" i="46"/>
  <c r="H295" i="46" s="1"/>
  <c r="X191" i="46"/>
  <c r="I191" i="46"/>
  <c r="G191" i="46"/>
  <c r="S191" i="46" s="1"/>
  <c r="I190" i="46"/>
  <c r="G190" i="46"/>
  <c r="F262" i="46" s="1"/>
  <c r="G262" i="46" s="1"/>
  <c r="I189" i="46"/>
  <c r="G189" i="46"/>
  <c r="H292" i="46" s="1"/>
  <c r="X188" i="46"/>
  <c r="J188" i="46"/>
  <c r="J189" i="46" s="1"/>
  <c r="J190" i="46" s="1"/>
  <c r="J191" i="46" s="1"/>
  <c r="J192" i="46" s="1"/>
  <c r="J193" i="46" s="1"/>
  <c r="J194" i="46" s="1"/>
  <c r="I188" i="46"/>
  <c r="G188" i="46"/>
  <c r="F260" i="46" s="1"/>
  <c r="G260" i="46" s="1"/>
  <c r="W187" i="46"/>
  <c r="J187" i="46"/>
  <c r="I187" i="46"/>
  <c r="G187" i="46"/>
  <c r="H290" i="46" s="1"/>
  <c r="J186" i="46"/>
  <c r="I186" i="46"/>
  <c r="G186" i="46"/>
  <c r="S186" i="46" s="1"/>
  <c r="I185" i="46"/>
  <c r="G185" i="46"/>
  <c r="F257" i="46" s="1"/>
  <c r="G257" i="46" s="1"/>
  <c r="I179" i="46"/>
  <c r="H166" i="46"/>
  <c r="G166" i="46"/>
  <c r="G165" i="46"/>
  <c r="H165" i="46" s="1"/>
  <c r="G164" i="46"/>
  <c r="H164" i="46" s="1"/>
  <c r="G163" i="46"/>
  <c r="H163" i="46" s="1"/>
  <c r="G162" i="46"/>
  <c r="H162" i="46" s="1"/>
  <c r="Y161" i="46"/>
  <c r="G161" i="46"/>
  <c r="H161" i="46" s="1"/>
  <c r="G160" i="46"/>
  <c r="H160" i="46" s="1"/>
  <c r="G159" i="46"/>
  <c r="H159" i="46" s="1"/>
  <c r="H158" i="46"/>
  <c r="G158" i="46"/>
  <c r="Y157" i="46"/>
  <c r="G157" i="46"/>
  <c r="H157" i="46" s="1"/>
  <c r="J155" i="46"/>
  <c r="S225" i="46" s="1"/>
  <c r="J143" i="46"/>
  <c r="D143" i="46"/>
  <c r="J142" i="46"/>
  <c r="D142" i="46"/>
  <c r="F127" i="46" s="1"/>
  <c r="J141" i="46"/>
  <c r="D141" i="46"/>
  <c r="J140" i="46"/>
  <c r="D140" i="46"/>
  <c r="J139" i="46"/>
  <c r="D139" i="46"/>
  <c r="J138" i="46"/>
  <c r="D138" i="46"/>
  <c r="J137" i="46"/>
  <c r="D137" i="46"/>
  <c r="J136" i="46"/>
  <c r="D136" i="46"/>
  <c r="J135" i="46"/>
  <c r="D135" i="46"/>
  <c r="E145" i="46" s="1"/>
  <c r="J134" i="46"/>
  <c r="D134" i="46"/>
  <c r="E117" i="46"/>
  <c r="E116" i="46"/>
  <c r="E115" i="46"/>
  <c r="E114" i="46"/>
  <c r="E113" i="46"/>
  <c r="E112" i="46"/>
  <c r="E111" i="46"/>
  <c r="E110" i="46"/>
  <c r="E109" i="46"/>
  <c r="I80" i="46"/>
  <c r="I79" i="46"/>
  <c r="I78" i="46"/>
  <c r="C78" i="46"/>
  <c r="I77" i="46"/>
  <c r="H77" i="46"/>
  <c r="C77" i="46"/>
  <c r="I76" i="46"/>
  <c r="C76" i="46"/>
  <c r="I75" i="46"/>
  <c r="H75" i="46"/>
  <c r="I74" i="46"/>
  <c r="C74" i="46"/>
  <c r="I73" i="46"/>
  <c r="H73" i="46"/>
  <c r="G73" i="46"/>
  <c r="F73" i="46"/>
  <c r="D73" i="46"/>
  <c r="C73" i="46"/>
  <c r="I72" i="46"/>
  <c r="F72" i="46"/>
  <c r="I71" i="46"/>
  <c r="T68" i="46"/>
  <c r="R68" i="46"/>
  <c r="P68" i="46"/>
  <c r="N68" i="46"/>
  <c r="L68" i="46"/>
  <c r="C68" i="46"/>
  <c r="T67" i="46"/>
  <c r="R67" i="46"/>
  <c r="P67" i="46"/>
  <c r="N67" i="46"/>
  <c r="L67" i="46"/>
  <c r="H67" i="46"/>
  <c r="H79" i="46" s="1"/>
  <c r="C67" i="46"/>
  <c r="C79" i="46" s="1"/>
  <c r="T66" i="46"/>
  <c r="R66" i="46"/>
  <c r="P66" i="46"/>
  <c r="N66" i="46"/>
  <c r="L66" i="46"/>
  <c r="F66" i="46"/>
  <c r="F78" i="46" s="1"/>
  <c r="E66" i="46"/>
  <c r="E78" i="46" s="1"/>
  <c r="C66" i="46"/>
  <c r="H66" i="46" s="1"/>
  <c r="H78" i="46" s="1"/>
  <c r="T65" i="46"/>
  <c r="R65" i="46"/>
  <c r="P65" i="46"/>
  <c r="N65" i="46"/>
  <c r="L65" i="46"/>
  <c r="H65" i="46"/>
  <c r="D65" i="46"/>
  <c r="D77" i="46" s="1"/>
  <c r="C65" i="46"/>
  <c r="G65" i="46" s="1"/>
  <c r="G77" i="46" s="1"/>
  <c r="T64" i="46"/>
  <c r="R64" i="46"/>
  <c r="P64" i="46"/>
  <c r="N64" i="46"/>
  <c r="L64" i="46"/>
  <c r="C64" i="46"/>
  <c r="T63" i="46"/>
  <c r="R63" i="46"/>
  <c r="P63" i="46"/>
  <c r="N63" i="46"/>
  <c r="L63" i="46"/>
  <c r="H63" i="46"/>
  <c r="G63" i="46"/>
  <c r="G75" i="46" s="1"/>
  <c r="F63" i="46"/>
  <c r="F75" i="46" s="1"/>
  <c r="E63" i="46"/>
  <c r="E75" i="46" s="1"/>
  <c r="D63" i="46"/>
  <c r="D75" i="46" s="1"/>
  <c r="C63" i="46"/>
  <c r="T62" i="46"/>
  <c r="R62" i="46"/>
  <c r="P62" i="46"/>
  <c r="N62" i="46"/>
  <c r="L62" i="46"/>
  <c r="E62" i="46"/>
  <c r="E74" i="46" s="1"/>
  <c r="C62" i="46"/>
  <c r="H62" i="46" s="1"/>
  <c r="H74" i="46" s="1"/>
  <c r="T61" i="46"/>
  <c r="R61" i="46"/>
  <c r="P61" i="46"/>
  <c r="N61" i="46"/>
  <c r="L61" i="46"/>
  <c r="H61" i="46"/>
  <c r="G61" i="46"/>
  <c r="F61" i="46"/>
  <c r="E61" i="46"/>
  <c r="E73" i="46" s="1"/>
  <c r="D61" i="46"/>
  <c r="C61" i="46"/>
  <c r="T60" i="46"/>
  <c r="R60" i="46"/>
  <c r="P60" i="46"/>
  <c r="N60" i="46"/>
  <c r="L60" i="46"/>
  <c r="H60" i="46"/>
  <c r="H72" i="46" s="1"/>
  <c r="G60" i="46"/>
  <c r="G72" i="46" s="1"/>
  <c r="F60" i="46"/>
  <c r="E60" i="46"/>
  <c r="E72" i="46" s="1"/>
  <c r="D60" i="46"/>
  <c r="D72" i="46" s="1"/>
  <c r="C60" i="46"/>
  <c r="C72" i="46" s="1"/>
  <c r="T59" i="46"/>
  <c r="R59" i="46"/>
  <c r="P59" i="46"/>
  <c r="N59" i="46"/>
  <c r="L59" i="46"/>
  <c r="C59" i="46"/>
  <c r="H59" i="46" s="1"/>
  <c r="H71" i="46" s="1"/>
  <c r="W47" i="46"/>
  <c r="Y46" i="46"/>
  <c r="W46" i="46"/>
  <c r="W45" i="46"/>
  <c r="W40" i="46"/>
  <c r="X40" i="46" s="1"/>
  <c r="W39" i="46"/>
  <c r="X39" i="46" s="1"/>
  <c r="F39" i="46"/>
  <c r="E39" i="46"/>
  <c r="W38" i="46"/>
  <c r="X38" i="46" s="1"/>
  <c r="F38" i="46"/>
  <c r="E38" i="46"/>
  <c r="F37" i="46"/>
  <c r="E37" i="46"/>
  <c r="F36" i="46"/>
  <c r="E36" i="46"/>
  <c r="F35" i="46"/>
  <c r="E35" i="46"/>
  <c r="F34" i="46"/>
  <c r="E34" i="46"/>
  <c r="F33" i="46"/>
  <c r="E33" i="46"/>
  <c r="X32" i="46"/>
  <c r="U32" i="46"/>
  <c r="AA32" i="46" s="1"/>
  <c r="F32" i="46"/>
  <c r="E32" i="46"/>
  <c r="F31" i="46"/>
  <c r="E31" i="46"/>
  <c r="F30" i="46"/>
  <c r="E30" i="46"/>
  <c r="D20" i="46"/>
  <c r="C20" i="46"/>
  <c r="R13" i="46"/>
  <c r="Q10" i="46"/>
  <c r="P10" i="46"/>
  <c r="F157" i="45"/>
  <c r="L297" i="45"/>
  <c r="P297" i="45" s="1"/>
  <c r="I297" i="45"/>
  <c r="L296" i="45"/>
  <c r="P296" i="45" s="1"/>
  <c r="I296" i="45"/>
  <c r="P295" i="45"/>
  <c r="L295" i="45"/>
  <c r="I295" i="45"/>
  <c r="L294" i="45"/>
  <c r="P294" i="45" s="1"/>
  <c r="I294" i="45"/>
  <c r="L293" i="45"/>
  <c r="P293" i="45" s="1"/>
  <c r="I293" i="45"/>
  <c r="L292" i="45"/>
  <c r="P292" i="45" s="1"/>
  <c r="I292" i="45"/>
  <c r="L291" i="45"/>
  <c r="P291" i="45" s="1"/>
  <c r="I291" i="45"/>
  <c r="L290" i="45"/>
  <c r="P290" i="45" s="1"/>
  <c r="I290" i="45"/>
  <c r="P289" i="45"/>
  <c r="L289" i="45"/>
  <c r="I289" i="45"/>
  <c r="L288" i="45"/>
  <c r="P288" i="45" s="1"/>
  <c r="I288" i="45"/>
  <c r="B285" i="45"/>
  <c r="H284" i="45"/>
  <c r="I283" i="45"/>
  <c r="C282" i="45"/>
  <c r="D281" i="45"/>
  <c r="C281" i="45"/>
  <c r="B281" i="45"/>
  <c r="E280" i="45"/>
  <c r="B280" i="45"/>
  <c r="E279" i="45"/>
  <c r="B279" i="45"/>
  <c r="E278" i="45"/>
  <c r="B278" i="45"/>
  <c r="B277" i="45"/>
  <c r="Q266" i="45"/>
  <c r="L266" i="45"/>
  <c r="N266" i="45" s="1"/>
  <c r="O266" i="45" s="1"/>
  <c r="Q265" i="45"/>
  <c r="L265" i="45"/>
  <c r="Q264" i="45"/>
  <c r="L264" i="45"/>
  <c r="Q263" i="45"/>
  <c r="L263" i="45"/>
  <c r="Q262" i="45"/>
  <c r="L262" i="45"/>
  <c r="Q261" i="45"/>
  <c r="L261" i="45"/>
  <c r="N261" i="45" s="1"/>
  <c r="O261" i="45" s="1"/>
  <c r="R261" i="45" s="1"/>
  <c r="Q260" i="45"/>
  <c r="L260" i="45"/>
  <c r="N260" i="45" s="1"/>
  <c r="O260" i="45" s="1"/>
  <c r="Q259" i="45"/>
  <c r="L259" i="45"/>
  <c r="Q258" i="45"/>
  <c r="L258" i="45"/>
  <c r="N258" i="45" s="1"/>
  <c r="O258" i="45" s="1"/>
  <c r="B258" i="45"/>
  <c r="Q257" i="45"/>
  <c r="M257" i="45"/>
  <c r="N257" i="45" s="1"/>
  <c r="O257" i="45" s="1"/>
  <c r="L257" i="45"/>
  <c r="B257" i="45"/>
  <c r="B256" i="45"/>
  <c r="R250" i="45"/>
  <c r="R249" i="45"/>
  <c r="R248" i="45"/>
  <c r="R247" i="45"/>
  <c r="R246" i="45"/>
  <c r="R245" i="45"/>
  <c r="R244" i="45"/>
  <c r="R243" i="45"/>
  <c r="R242" i="45"/>
  <c r="R241" i="45"/>
  <c r="L236" i="45"/>
  <c r="L235" i="45"/>
  <c r="L234" i="45"/>
  <c r="L233" i="45"/>
  <c r="L232" i="45"/>
  <c r="L231" i="45"/>
  <c r="L230" i="45"/>
  <c r="L229" i="45"/>
  <c r="L228" i="45"/>
  <c r="B228" i="45"/>
  <c r="L227" i="45"/>
  <c r="N227" i="45" s="1"/>
  <c r="O227" i="45" s="1"/>
  <c r="B227" i="45"/>
  <c r="M227" i="45" s="1"/>
  <c r="B226" i="45"/>
  <c r="S225" i="45"/>
  <c r="I213" i="45"/>
  <c r="M213" i="45" s="1"/>
  <c r="H205" i="45"/>
  <c r="I205" i="45" s="1"/>
  <c r="M205" i="45" s="1"/>
  <c r="R203" i="45"/>
  <c r="Q203" i="45"/>
  <c r="I194" i="45"/>
  <c r="G194" i="45"/>
  <c r="S194" i="45" s="1"/>
  <c r="X193" i="45"/>
  <c r="I193" i="45"/>
  <c r="G193" i="45"/>
  <c r="S193" i="45" s="1"/>
  <c r="I192" i="45"/>
  <c r="G192" i="45"/>
  <c r="H295" i="45" s="1"/>
  <c r="X191" i="45"/>
  <c r="I191" i="45"/>
  <c r="G191" i="45"/>
  <c r="F263" i="45" s="1"/>
  <c r="G263" i="45" s="1"/>
  <c r="H263" i="45" s="1"/>
  <c r="N294" i="45" s="1"/>
  <c r="I190" i="45"/>
  <c r="G190" i="45"/>
  <c r="F262" i="45" s="1"/>
  <c r="G262" i="45" s="1"/>
  <c r="H262" i="45" s="1"/>
  <c r="N293" i="45" s="1"/>
  <c r="I189" i="45"/>
  <c r="G189" i="45"/>
  <c r="H292" i="45" s="1"/>
  <c r="X188" i="45"/>
  <c r="I188" i="45"/>
  <c r="G188" i="45"/>
  <c r="W187" i="45"/>
  <c r="J187" i="45"/>
  <c r="J188" i="45" s="1"/>
  <c r="J189" i="45" s="1"/>
  <c r="J190" i="45" s="1"/>
  <c r="J191" i="45" s="1"/>
  <c r="J192" i="45" s="1"/>
  <c r="J193" i="45" s="1"/>
  <c r="J194" i="45" s="1"/>
  <c r="I187" i="45"/>
  <c r="G187" i="45"/>
  <c r="H290" i="45" s="1"/>
  <c r="J186" i="45"/>
  <c r="I186" i="45"/>
  <c r="G186" i="45"/>
  <c r="S186" i="45" s="1"/>
  <c r="L185" i="45"/>
  <c r="L186" i="45" s="1"/>
  <c r="I185" i="45"/>
  <c r="G185" i="45"/>
  <c r="S185" i="45" s="1"/>
  <c r="H182" i="45"/>
  <c r="I179" i="45"/>
  <c r="H166" i="45"/>
  <c r="G166" i="45"/>
  <c r="G165" i="45"/>
  <c r="H165" i="45" s="1"/>
  <c r="J164" i="45"/>
  <c r="G164" i="45"/>
  <c r="H164" i="45" s="1"/>
  <c r="H163" i="45"/>
  <c r="G163" i="45"/>
  <c r="H162" i="45"/>
  <c r="G162" i="45"/>
  <c r="Y161" i="45"/>
  <c r="G161" i="45"/>
  <c r="H161" i="45" s="1"/>
  <c r="J160" i="45"/>
  <c r="G160" i="45"/>
  <c r="H160" i="45" s="1"/>
  <c r="J159" i="45"/>
  <c r="G159" i="45"/>
  <c r="H159" i="45" s="1"/>
  <c r="H158" i="45"/>
  <c r="G158" i="45"/>
  <c r="Y157" i="45"/>
  <c r="H157" i="45"/>
  <c r="G157" i="45"/>
  <c r="J155" i="45"/>
  <c r="J143" i="45"/>
  <c r="D143" i="45"/>
  <c r="J142" i="45"/>
  <c r="D142" i="45"/>
  <c r="J141" i="45"/>
  <c r="D141" i="45"/>
  <c r="J140" i="45"/>
  <c r="D140" i="45"/>
  <c r="J139" i="45"/>
  <c r="D139" i="45"/>
  <c r="J138" i="45"/>
  <c r="D138" i="45"/>
  <c r="J137" i="45"/>
  <c r="D137" i="45"/>
  <c r="J136" i="45"/>
  <c r="D136" i="45"/>
  <c r="J135" i="45"/>
  <c r="D135" i="45"/>
  <c r="J134" i="45"/>
  <c r="D134" i="45"/>
  <c r="E129" i="45" s="1"/>
  <c r="E117" i="45"/>
  <c r="E116" i="45"/>
  <c r="E115" i="45"/>
  <c r="E114" i="45"/>
  <c r="E113" i="45"/>
  <c r="E112" i="45"/>
  <c r="E111" i="45"/>
  <c r="E110" i="45"/>
  <c r="E109" i="45"/>
  <c r="I80" i="45"/>
  <c r="I79" i="45"/>
  <c r="H79" i="45"/>
  <c r="C79" i="45"/>
  <c r="I78" i="45"/>
  <c r="F78" i="45"/>
  <c r="E78" i="45"/>
  <c r="C78" i="45"/>
  <c r="I77" i="45"/>
  <c r="I76" i="45"/>
  <c r="I75" i="45"/>
  <c r="I74" i="45"/>
  <c r="I73" i="45"/>
  <c r="H73" i="45"/>
  <c r="G73" i="45"/>
  <c r="C73" i="45"/>
  <c r="I72" i="45"/>
  <c r="I71" i="45"/>
  <c r="T68" i="45"/>
  <c r="R68" i="45"/>
  <c r="P68" i="45"/>
  <c r="N68" i="45"/>
  <c r="L68" i="45"/>
  <c r="G68" i="45"/>
  <c r="G80" i="45" s="1"/>
  <c r="C68" i="45"/>
  <c r="J166" i="45" s="1"/>
  <c r="T67" i="45"/>
  <c r="R67" i="45"/>
  <c r="P67" i="45"/>
  <c r="N67" i="45"/>
  <c r="L67" i="45"/>
  <c r="H67" i="45"/>
  <c r="G67" i="45"/>
  <c r="G79" i="45" s="1"/>
  <c r="F67" i="45"/>
  <c r="F79" i="45" s="1"/>
  <c r="E67" i="45"/>
  <c r="E79" i="45" s="1"/>
  <c r="C67" i="45"/>
  <c r="J165" i="45" s="1"/>
  <c r="T66" i="45"/>
  <c r="R66" i="45"/>
  <c r="P66" i="45"/>
  <c r="N66" i="45"/>
  <c r="L66" i="45"/>
  <c r="H66" i="45"/>
  <c r="H78" i="45" s="1"/>
  <c r="G66" i="45"/>
  <c r="G78" i="45" s="1"/>
  <c r="F66" i="45"/>
  <c r="E66" i="45"/>
  <c r="D66" i="45"/>
  <c r="D78" i="45" s="1"/>
  <c r="C66" i="45"/>
  <c r="T65" i="45"/>
  <c r="R65" i="45"/>
  <c r="P65" i="45"/>
  <c r="N65" i="45"/>
  <c r="L65" i="45"/>
  <c r="H65" i="45"/>
  <c r="H77" i="45" s="1"/>
  <c r="C65" i="45"/>
  <c r="G65" i="45" s="1"/>
  <c r="G77" i="45" s="1"/>
  <c r="T64" i="45"/>
  <c r="R64" i="45"/>
  <c r="P64" i="45"/>
  <c r="N64" i="45"/>
  <c r="L64" i="45"/>
  <c r="C64" i="45"/>
  <c r="J162" i="45" s="1"/>
  <c r="T63" i="45"/>
  <c r="R63" i="45"/>
  <c r="P63" i="45"/>
  <c r="N63" i="45"/>
  <c r="L63" i="45"/>
  <c r="H63" i="45"/>
  <c r="H75" i="45" s="1"/>
  <c r="G63" i="45"/>
  <c r="G75" i="45" s="1"/>
  <c r="E63" i="45"/>
  <c r="E75" i="45" s="1"/>
  <c r="C63" i="45"/>
  <c r="J161" i="45" s="1"/>
  <c r="T62" i="45"/>
  <c r="R62" i="45"/>
  <c r="P62" i="45"/>
  <c r="N62" i="45"/>
  <c r="L62" i="45"/>
  <c r="D62" i="45"/>
  <c r="D74" i="45" s="1"/>
  <c r="C62" i="45"/>
  <c r="H62" i="45" s="1"/>
  <c r="H74" i="45" s="1"/>
  <c r="T61" i="45"/>
  <c r="R61" i="45"/>
  <c r="P61" i="45"/>
  <c r="N61" i="45"/>
  <c r="L61" i="45"/>
  <c r="H61" i="45"/>
  <c r="G61" i="45"/>
  <c r="D61" i="45"/>
  <c r="D73" i="45" s="1"/>
  <c r="C61" i="45"/>
  <c r="F61" i="45" s="1"/>
  <c r="F73" i="45" s="1"/>
  <c r="T60" i="45"/>
  <c r="R60" i="45"/>
  <c r="P60" i="45"/>
  <c r="N60" i="45"/>
  <c r="L60" i="45"/>
  <c r="H60" i="45"/>
  <c r="H72" i="45" s="1"/>
  <c r="G60" i="45"/>
  <c r="G72" i="45" s="1"/>
  <c r="F60" i="45"/>
  <c r="F72" i="45" s="1"/>
  <c r="D60" i="45"/>
  <c r="D72" i="45" s="1"/>
  <c r="C60" i="45"/>
  <c r="C72" i="45" s="1"/>
  <c r="T59" i="45"/>
  <c r="R59" i="45"/>
  <c r="P59" i="45"/>
  <c r="N59" i="45"/>
  <c r="L59" i="45"/>
  <c r="E59" i="45"/>
  <c r="E71" i="45" s="1"/>
  <c r="C59" i="45"/>
  <c r="H59" i="45" s="1"/>
  <c r="H71" i="45" s="1"/>
  <c r="W47" i="45"/>
  <c r="Y46" i="45"/>
  <c r="W46" i="45"/>
  <c r="W45" i="45"/>
  <c r="W40" i="45"/>
  <c r="X40" i="45" s="1"/>
  <c r="W39" i="45"/>
  <c r="X39" i="45" s="1"/>
  <c r="F39" i="45"/>
  <c r="E39" i="45"/>
  <c r="X38" i="45"/>
  <c r="W38" i="45"/>
  <c r="F38" i="45"/>
  <c r="E38" i="45"/>
  <c r="F37" i="45"/>
  <c r="E37" i="45"/>
  <c r="F36" i="45"/>
  <c r="E36" i="45"/>
  <c r="F35" i="45"/>
  <c r="E35" i="45"/>
  <c r="AA34" i="45"/>
  <c r="F34" i="45"/>
  <c r="E34" i="45"/>
  <c r="F33" i="45"/>
  <c r="E33" i="45"/>
  <c r="X32" i="45"/>
  <c r="AA32" i="45" s="1"/>
  <c r="U32" i="45"/>
  <c r="F32" i="45"/>
  <c r="E32" i="45"/>
  <c r="F31" i="45"/>
  <c r="E31" i="45"/>
  <c r="F30" i="45"/>
  <c r="E30" i="45"/>
  <c r="D20" i="45"/>
  <c r="C20" i="45"/>
  <c r="R13" i="45"/>
  <c r="R10" i="45"/>
  <c r="Q10" i="45"/>
  <c r="P10" i="45"/>
  <c r="R10" i="42"/>
  <c r="L296" i="43"/>
  <c r="P296" i="43" s="1"/>
  <c r="L293" i="43"/>
  <c r="P293" i="43" s="1"/>
  <c r="L289" i="43"/>
  <c r="P289" i="43" s="1"/>
  <c r="I185" i="43"/>
  <c r="R203" i="43"/>
  <c r="J158" i="43"/>
  <c r="J159" i="43"/>
  <c r="J160" i="43"/>
  <c r="J161" i="43"/>
  <c r="J162" i="43"/>
  <c r="J157" i="43"/>
  <c r="J155" i="43"/>
  <c r="I297" i="43"/>
  <c r="I296" i="43"/>
  <c r="L295" i="43"/>
  <c r="P295" i="43" s="1"/>
  <c r="I295" i="43"/>
  <c r="L294" i="43"/>
  <c r="P294" i="43" s="1"/>
  <c r="I294" i="43"/>
  <c r="H294" i="43"/>
  <c r="I293" i="43"/>
  <c r="L292" i="43"/>
  <c r="P292" i="43" s="1"/>
  <c r="I292" i="43"/>
  <c r="L291" i="43"/>
  <c r="P291" i="43" s="1"/>
  <c r="I291" i="43"/>
  <c r="L290" i="43"/>
  <c r="P290" i="43" s="1"/>
  <c r="I290" i="43"/>
  <c r="I289" i="43"/>
  <c r="L288" i="43"/>
  <c r="P288" i="43" s="1"/>
  <c r="I288" i="43"/>
  <c r="B285" i="43"/>
  <c r="C282" i="43"/>
  <c r="D281" i="43"/>
  <c r="C281" i="43"/>
  <c r="B281" i="43"/>
  <c r="D280" i="43"/>
  <c r="B280" i="43"/>
  <c r="E279" i="43"/>
  <c r="B279" i="43"/>
  <c r="E278" i="43"/>
  <c r="B278" i="43"/>
  <c r="B277" i="43"/>
  <c r="Q266" i="43"/>
  <c r="L266" i="43"/>
  <c r="F266" i="43"/>
  <c r="G266" i="43" s="1"/>
  <c r="H266" i="43" s="1"/>
  <c r="N297" i="43" s="1"/>
  <c r="Q265" i="43"/>
  <c r="L265" i="43"/>
  <c r="Q264" i="43"/>
  <c r="L264" i="43"/>
  <c r="Q263" i="43"/>
  <c r="L263" i="43"/>
  <c r="Q262" i="43"/>
  <c r="L262" i="43"/>
  <c r="N262" i="43" s="1"/>
  <c r="O262" i="43" s="1"/>
  <c r="Q261" i="43"/>
  <c r="L261" i="43"/>
  <c r="Q260" i="43"/>
  <c r="L260" i="43"/>
  <c r="Q259" i="43"/>
  <c r="L259" i="43"/>
  <c r="N259" i="43" s="1"/>
  <c r="O259" i="43" s="1"/>
  <c r="Q258" i="43"/>
  <c r="L258" i="43"/>
  <c r="B258" i="43"/>
  <c r="Q257" i="43"/>
  <c r="L257" i="43"/>
  <c r="B257" i="43"/>
  <c r="M257" i="43" s="1"/>
  <c r="B256" i="43"/>
  <c r="R250" i="43"/>
  <c r="R249" i="43"/>
  <c r="R248" i="43"/>
  <c r="R247" i="43"/>
  <c r="R246" i="43"/>
  <c r="R245" i="43"/>
  <c r="R244" i="43"/>
  <c r="R243" i="43"/>
  <c r="R242" i="43"/>
  <c r="R241" i="43"/>
  <c r="L236" i="43"/>
  <c r="L235" i="43"/>
  <c r="L234" i="43"/>
  <c r="L233" i="43"/>
  <c r="L232" i="43"/>
  <c r="L231" i="43"/>
  <c r="L230" i="43"/>
  <c r="L229" i="43"/>
  <c r="L228" i="43"/>
  <c r="B228" i="43"/>
  <c r="L227" i="43"/>
  <c r="B227" i="43"/>
  <c r="M227" i="43" s="1"/>
  <c r="B226" i="43"/>
  <c r="I211" i="43"/>
  <c r="M211" i="43" s="1"/>
  <c r="I209" i="43"/>
  <c r="M209" i="43" s="1"/>
  <c r="I208" i="43"/>
  <c r="M208" i="43" s="1"/>
  <c r="H205" i="43"/>
  <c r="I213" i="43" s="1"/>
  <c r="M213" i="43" s="1"/>
  <c r="Q203" i="43"/>
  <c r="I194" i="43"/>
  <c r="G194" i="43"/>
  <c r="H297" i="43" s="1"/>
  <c r="X193" i="43"/>
  <c r="I193" i="43"/>
  <c r="G193" i="43"/>
  <c r="H296" i="43" s="1"/>
  <c r="S192" i="43"/>
  <c r="I192" i="43"/>
  <c r="G192" i="43"/>
  <c r="H295" i="43" s="1"/>
  <c r="X191" i="43"/>
  <c r="S191" i="43"/>
  <c r="I191" i="43"/>
  <c r="G191" i="43"/>
  <c r="I190" i="43"/>
  <c r="G190" i="43"/>
  <c r="H293" i="43" s="1"/>
  <c r="I189" i="43"/>
  <c r="G189" i="43"/>
  <c r="H292" i="43" s="1"/>
  <c r="X188" i="43"/>
  <c r="I188" i="43"/>
  <c r="G188" i="43"/>
  <c r="H291" i="43" s="1"/>
  <c r="W187" i="43"/>
  <c r="J187" i="43"/>
  <c r="J188" i="43" s="1"/>
  <c r="J189" i="43" s="1"/>
  <c r="J190" i="43" s="1"/>
  <c r="J191" i="43" s="1"/>
  <c r="J192" i="43" s="1"/>
  <c r="J193" i="43" s="1"/>
  <c r="J194" i="43" s="1"/>
  <c r="I187" i="43"/>
  <c r="G187" i="43"/>
  <c r="H290" i="43" s="1"/>
  <c r="J186" i="43"/>
  <c r="I186" i="43"/>
  <c r="G186" i="43"/>
  <c r="H289" i="43" s="1"/>
  <c r="L185" i="43"/>
  <c r="J288" i="43" s="1"/>
  <c r="G185" i="43"/>
  <c r="H288" i="43" s="1"/>
  <c r="I179" i="43"/>
  <c r="G166" i="43"/>
  <c r="H166" i="43" s="1"/>
  <c r="G165" i="43"/>
  <c r="H165" i="43" s="1"/>
  <c r="G164" i="43"/>
  <c r="H164" i="43" s="1"/>
  <c r="G163" i="43"/>
  <c r="H163" i="43" s="1"/>
  <c r="G162" i="43"/>
  <c r="H162" i="43" s="1"/>
  <c r="Y161" i="43"/>
  <c r="G161" i="43"/>
  <c r="H161" i="43" s="1"/>
  <c r="G160" i="43"/>
  <c r="H160" i="43" s="1"/>
  <c r="G159" i="43"/>
  <c r="H159" i="43" s="1"/>
  <c r="H158" i="43"/>
  <c r="G158" i="43"/>
  <c r="Y157" i="43"/>
  <c r="G157" i="43"/>
  <c r="H157" i="43" s="1"/>
  <c r="H182" i="43"/>
  <c r="J143" i="43"/>
  <c r="D143" i="43"/>
  <c r="J142" i="43"/>
  <c r="D142" i="43"/>
  <c r="J141" i="43"/>
  <c r="D141" i="43"/>
  <c r="J140" i="43"/>
  <c r="D140" i="43"/>
  <c r="F127" i="43" s="1"/>
  <c r="J139" i="43"/>
  <c r="D139" i="43"/>
  <c r="J138" i="43"/>
  <c r="D138" i="43"/>
  <c r="J137" i="43"/>
  <c r="D137" i="43"/>
  <c r="J136" i="43"/>
  <c r="D136" i="43"/>
  <c r="J135" i="43"/>
  <c r="D135" i="43"/>
  <c r="J134" i="43"/>
  <c r="D134" i="43"/>
  <c r="E128" i="43" s="1"/>
  <c r="F129" i="43"/>
  <c r="E117" i="43"/>
  <c r="E116" i="43"/>
  <c r="E115" i="43"/>
  <c r="E114" i="43"/>
  <c r="E113" i="43"/>
  <c r="E112" i="43"/>
  <c r="E111" i="43"/>
  <c r="E110" i="43"/>
  <c r="E109" i="43"/>
  <c r="I80" i="43"/>
  <c r="C80" i="43"/>
  <c r="I79" i="43"/>
  <c r="I78" i="43"/>
  <c r="I77" i="43"/>
  <c r="I76" i="43"/>
  <c r="C76" i="43"/>
  <c r="I75" i="43"/>
  <c r="I74" i="43"/>
  <c r="I73" i="43"/>
  <c r="I72" i="43"/>
  <c r="I71" i="43"/>
  <c r="C71" i="43"/>
  <c r="T68" i="43"/>
  <c r="R68" i="43"/>
  <c r="P68" i="43"/>
  <c r="N68" i="43"/>
  <c r="L68" i="43"/>
  <c r="G68" i="43"/>
  <c r="G80" i="43" s="1"/>
  <c r="D68" i="43"/>
  <c r="D80" i="43" s="1"/>
  <c r="C68" i="43"/>
  <c r="H68" i="43" s="1"/>
  <c r="H80" i="43" s="1"/>
  <c r="T67" i="43"/>
  <c r="R67" i="43"/>
  <c r="P67" i="43"/>
  <c r="N67" i="43"/>
  <c r="L67" i="43"/>
  <c r="C67" i="43"/>
  <c r="D67" i="43" s="1"/>
  <c r="D79" i="43" s="1"/>
  <c r="T66" i="43"/>
  <c r="R66" i="43"/>
  <c r="P66" i="43"/>
  <c r="N66" i="43"/>
  <c r="L66" i="43"/>
  <c r="C66" i="43"/>
  <c r="J164" i="43" s="1"/>
  <c r="T65" i="43"/>
  <c r="R65" i="43"/>
  <c r="P65" i="43"/>
  <c r="N65" i="43"/>
  <c r="L65" i="43"/>
  <c r="C65" i="43"/>
  <c r="C77" i="43" s="1"/>
  <c r="T64" i="43"/>
  <c r="R64" i="43"/>
  <c r="P64" i="43"/>
  <c r="N64" i="43"/>
  <c r="L64" i="43"/>
  <c r="G64" i="43"/>
  <c r="G76" i="43" s="1"/>
  <c r="F64" i="43"/>
  <c r="F76" i="43" s="1"/>
  <c r="C64" i="43"/>
  <c r="H64" i="43" s="1"/>
  <c r="H76" i="43" s="1"/>
  <c r="T63" i="43"/>
  <c r="R63" i="43"/>
  <c r="P63" i="43"/>
  <c r="N63" i="43"/>
  <c r="L63" i="43"/>
  <c r="H63" i="43"/>
  <c r="H75" i="43" s="1"/>
  <c r="G63" i="43"/>
  <c r="G75" i="43" s="1"/>
  <c r="F63" i="43"/>
  <c r="F75" i="43" s="1"/>
  <c r="E63" i="43"/>
  <c r="E75" i="43" s="1"/>
  <c r="D63" i="43"/>
  <c r="D75" i="43" s="1"/>
  <c r="C63" i="43"/>
  <c r="T62" i="43"/>
  <c r="R62" i="43"/>
  <c r="P62" i="43"/>
  <c r="N62" i="43"/>
  <c r="L62" i="43"/>
  <c r="C62" i="43"/>
  <c r="G62" i="43" s="1"/>
  <c r="G74" i="43" s="1"/>
  <c r="T61" i="43"/>
  <c r="R61" i="43"/>
  <c r="P61" i="43"/>
  <c r="N61" i="43"/>
  <c r="L61" i="43"/>
  <c r="C61" i="43"/>
  <c r="E61" i="43" s="1"/>
  <c r="E73" i="43" s="1"/>
  <c r="T60" i="43"/>
  <c r="R60" i="43"/>
  <c r="P60" i="43"/>
  <c r="N60" i="43"/>
  <c r="L60" i="43"/>
  <c r="H60" i="43"/>
  <c r="H72" i="43" s="1"/>
  <c r="C60" i="43"/>
  <c r="F60" i="43" s="1"/>
  <c r="F72" i="43" s="1"/>
  <c r="T59" i="43"/>
  <c r="R59" i="43"/>
  <c r="P59" i="43"/>
  <c r="N59" i="43"/>
  <c r="L59" i="43"/>
  <c r="H59" i="43"/>
  <c r="H71" i="43" s="1"/>
  <c r="G59" i="43"/>
  <c r="G71" i="43" s="1"/>
  <c r="E59" i="43"/>
  <c r="E71" i="43" s="1"/>
  <c r="C59" i="43"/>
  <c r="D59" i="43" s="1"/>
  <c r="D71" i="43" s="1"/>
  <c r="W47" i="43"/>
  <c r="Y46" i="43"/>
  <c r="W46" i="43"/>
  <c r="W45" i="43"/>
  <c r="W40" i="43"/>
  <c r="X40" i="43" s="1"/>
  <c r="W39" i="43"/>
  <c r="X39" i="43" s="1"/>
  <c r="F39" i="43"/>
  <c r="E39" i="43"/>
  <c r="W38" i="43"/>
  <c r="X38" i="43" s="1"/>
  <c r="F38" i="43"/>
  <c r="E38" i="43"/>
  <c r="F37" i="43"/>
  <c r="E37" i="43"/>
  <c r="F36" i="43"/>
  <c r="E36" i="43"/>
  <c r="F35" i="43"/>
  <c r="E35" i="43"/>
  <c r="F34" i="43"/>
  <c r="E34" i="43"/>
  <c r="F33" i="43"/>
  <c r="E33" i="43"/>
  <c r="X32" i="43"/>
  <c r="U32" i="43"/>
  <c r="F32" i="43"/>
  <c r="E32" i="43"/>
  <c r="F31" i="43"/>
  <c r="E31" i="43"/>
  <c r="F30" i="43"/>
  <c r="E30" i="43"/>
  <c r="D20" i="43"/>
  <c r="C20" i="43"/>
  <c r="R13" i="43"/>
  <c r="Q10" i="43"/>
  <c r="P10" i="43"/>
  <c r="L297" i="42"/>
  <c r="P297" i="42" s="1"/>
  <c r="I297" i="42"/>
  <c r="H297" i="42"/>
  <c r="L296" i="42"/>
  <c r="P296" i="42" s="1"/>
  <c r="I296" i="42"/>
  <c r="L295" i="42"/>
  <c r="P295" i="42" s="1"/>
  <c r="I295" i="42"/>
  <c r="L294" i="42"/>
  <c r="P294" i="42" s="1"/>
  <c r="I294" i="42"/>
  <c r="L293" i="42"/>
  <c r="P293" i="42" s="1"/>
  <c r="I293" i="42"/>
  <c r="P292" i="42"/>
  <c r="L292" i="42"/>
  <c r="I292" i="42"/>
  <c r="L291" i="42"/>
  <c r="P291" i="42" s="1"/>
  <c r="I291" i="42"/>
  <c r="L290" i="42"/>
  <c r="P290" i="42" s="1"/>
  <c r="I290" i="42"/>
  <c r="L289" i="42"/>
  <c r="P289" i="42" s="1"/>
  <c r="I289" i="42"/>
  <c r="L288" i="42"/>
  <c r="P288" i="42" s="1"/>
  <c r="I288" i="42"/>
  <c r="B285" i="42"/>
  <c r="I283" i="42"/>
  <c r="C282" i="42"/>
  <c r="D281" i="42"/>
  <c r="C281" i="42"/>
  <c r="B281" i="42"/>
  <c r="E280" i="42"/>
  <c r="B280" i="42"/>
  <c r="E279" i="42"/>
  <c r="B279" i="42"/>
  <c r="E278" i="42"/>
  <c r="B278" i="42"/>
  <c r="B277" i="42"/>
  <c r="Q266" i="42"/>
  <c r="L266" i="42"/>
  <c r="F266" i="42"/>
  <c r="G266" i="42" s="1"/>
  <c r="Q265" i="42"/>
  <c r="L265" i="42"/>
  <c r="N265" i="42" s="1"/>
  <c r="O265" i="42" s="1"/>
  <c r="Q264" i="42"/>
  <c r="L264" i="42"/>
  <c r="Q263" i="42"/>
  <c r="L263" i="42"/>
  <c r="Q262" i="42"/>
  <c r="L262" i="42"/>
  <c r="Q261" i="42"/>
  <c r="L261" i="42"/>
  <c r="Q260" i="42"/>
  <c r="L260" i="42"/>
  <c r="Q259" i="42"/>
  <c r="L259" i="42"/>
  <c r="Q258" i="42"/>
  <c r="L258" i="42"/>
  <c r="B258" i="42"/>
  <c r="N266" i="42" s="1"/>
  <c r="O266" i="42" s="1"/>
  <c r="Q257" i="42"/>
  <c r="M257" i="42"/>
  <c r="L257" i="42"/>
  <c r="B257" i="42"/>
  <c r="B256" i="42"/>
  <c r="R250" i="42"/>
  <c r="R249" i="42"/>
  <c r="R248" i="42"/>
  <c r="R247" i="42"/>
  <c r="R246" i="42"/>
  <c r="R245" i="42"/>
  <c r="R244" i="42"/>
  <c r="R243" i="42"/>
  <c r="R242" i="42"/>
  <c r="R241" i="42"/>
  <c r="L236" i="42"/>
  <c r="L235" i="42"/>
  <c r="L234" i="42"/>
  <c r="L233" i="42"/>
  <c r="L232" i="42"/>
  <c r="L231" i="42"/>
  <c r="L230" i="42"/>
  <c r="L229" i="42"/>
  <c r="L228" i="42"/>
  <c r="B228" i="42"/>
  <c r="L227" i="42"/>
  <c r="B227" i="42"/>
  <c r="M227" i="42" s="1"/>
  <c r="B226" i="42"/>
  <c r="H205" i="42"/>
  <c r="I213" i="42" s="1"/>
  <c r="M213" i="42" s="1"/>
  <c r="Q203" i="42"/>
  <c r="R203" i="42" s="1"/>
  <c r="I194" i="42"/>
  <c r="G194" i="42"/>
  <c r="S194" i="42" s="1"/>
  <c r="X193" i="42"/>
  <c r="I193" i="42"/>
  <c r="G193" i="42"/>
  <c r="F265" i="42" s="1"/>
  <c r="G265" i="42" s="1"/>
  <c r="I192" i="42"/>
  <c r="G192" i="42"/>
  <c r="H295" i="42" s="1"/>
  <c r="X191" i="42"/>
  <c r="I191" i="42"/>
  <c r="G191" i="42"/>
  <c r="S191" i="42" s="1"/>
  <c r="I190" i="42"/>
  <c r="G190" i="42"/>
  <c r="F262" i="42" s="1"/>
  <c r="G262" i="42" s="1"/>
  <c r="I189" i="42"/>
  <c r="G189" i="42"/>
  <c r="H292" i="42" s="1"/>
  <c r="X188" i="42"/>
  <c r="I188" i="42"/>
  <c r="G188" i="42"/>
  <c r="W187" i="42"/>
  <c r="I187" i="42"/>
  <c r="G187" i="42"/>
  <c r="H290" i="42" s="1"/>
  <c r="J186" i="42"/>
  <c r="J187" i="42" s="1"/>
  <c r="J188" i="42" s="1"/>
  <c r="J189" i="42" s="1"/>
  <c r="J190" i="42" s="1"/>
  <c r="J191" i="42" s="1"/>
  <c r="J192" i="42" s="1"/>
  <c r="J193" i="42" s="1"/>
  <c r="J194" i="42" s="1"/>
  <c r="I186" i="42"/>
  <c r="G186" i="42"/>
  <c r="H289" i="42" s="1"/>
  <c r="L185" i="42"/>
  <c r="J288" i="42" s="1"/>
  <c r="I185" i="42"/>
  <c r="G185" i="42"/>
  <c r="F257" i="42" s="1"/>
  <c r="G257" i="42" s="1"/>
  <c r="H257" i="42" s="1"/>
  <c r="N288" i="42" s="1"/>
  <c r="H182" i="42"/>
  <c r="I179" i="42"/>
  <c r="J166" i="42"/>
  <c r="H166" i="42"/>
  <c r="G166" i="42"/>
  <c r="G165" i="42"/>
  <c r="H165" i="42" s="1"/>
  <c r="G164" i="42"/>
  <c r="H164" i="42" s="1"/>
  <c r="G163" i="42"/>
  <c r="H163" i="42" s="1"/>
  <c r="G162" i="42"/>
  <c r="H162" i="42" s="1"/>
  <c r="Y161" i="42"/>
  <c r="G161" i="42"/>
  <c r="H161" i="42" s="1"/>
  <c r="J160" i="42"/>
  <c r="G160" i="42"/>
  <c r="H160" i="42" s="1"/>
  <c r="G159" i="42"/>
  <c r="H159" i="42" s="1"/>
  <c r="G158" i="42"/>
  <c r="H158" i="42" s="1"/>
  <c r="Y157" i="42"/>
  <c r="G157" i="42"/>
  <c r="H157" i="42" s="1"/>
  <c r="J155" i="42"/>
  <c r="S225" i="42" s="1"/>
  <c r="J143" i="42"/>
  <c r="D143" i="42"/>
  <c r="J142" i="42"/>
  <c r="D142" i="42"/>
  <c r="J141" i="42"/>
  <c r="D141" i="42"/>
  <c r="J140" i="42"/>
  <c r="D140" i="42"/>
  <c r="F129" i="42" s="1"/>
  <c r="J139" i="42"/>
  <c r="D139" i="42"/>
  <c r="J138" i="42"/>
  <c r="D138" i="42"/>
  <c r="J137" i="42"/>
  <c r="D137" i="42"/>
  <c r="J136" i="42"/>
  <c r="D136" i="42"/>
  <c r="J135" i="42"/>
  <c r="D135" i="42"/>
  <c r="J134" i="42"/>
  <c r="D134" i="42"/>
  <c r="E128" i="42" s="1"/>
  <c r="F128" i="42"/>
  <c r="E117" i="42"/>
  <c r="E116" i="42"/>
  <c r="E115" i="42"/>
  <c r="E114" i="42"/>
  <c r="E113" i="42"/>
  <c r="E112" i="42"/>
  <c r="E111" i="42"/>
  <c r="E110" i="42"/>
  <c r="E109" i="42"/>
  <c r="I80" i="42"/>
  <c r="I79" i="42"/>
  <c r="I78" i="42"/>
  <c r="C78" i="42"/>
  <c r="I77" i="42"/>
  <c r="F77" i="42"/>
  <c r="I76" i="42"/>
  <c r="C76" i="42"/>
  <c r="I75" i="42"/>
  <c r="I74" i="42"/>
  <c r="I73" i="42"/>
  <c r="I72" i="42"/>
  <c r="I71" i="42"/>
  <c r="T68" i="42"/>
  <c r="R68" i="42"/>
  <c r="P68" i="42"/>
  <c r="N68" i="42"/>
  <c r="L68" i="42"/>
  <c r="C68" i="42"/>
  <c r="H68" i="42" s="1"/>
  <c r="H80" i="42" s="1"/>
  <c r="T67" i="42"/>
  <c r="R67" i="42"/>
  <c r="P67" i="42"/>
  <c r="N67" i="42"/>
  <c r="L67" i="42"/>
  <c r="C67" i="42"/>
  <c r="G67" i="42" s="1"/>
  <c r="G79" i="42" s="1"/>
  <c r="T66" i="42"/>
  <c r="R66" i="42"/>
  <c r="P66" i="42"/>
  <c r="N66" i="42"/>
  <c r="L66" i="42"/>
  <c r="H66" i="42"/>
  <c r="H78" i="42" s="1"/>
  <c r="E66" i="42"/>
  <c r="E78" i="42" s="1"/>
  <c r="C66" i="42"/>
  <c r="F66" i="42" s="1"/>
  <c r="F78" i="42" s="1"/>
  <c r="T65" i="42"/>
  <c r="R65" i="42"/>
  <c r="P65" i="42"/>
  <c r="N65" i="42"/>
  <c r="L65" i="42"/>
  <c r="G65" i="42"/>
  <c r="G77" i="42" s="1"/>
  <c r="F65" i="42"/>
  <c r="E65" i="42"/>
  <c r="E77" i="42" s="1"/>
  <c r="C65" i="42"/>
  <c r="C77" i="42" s="1"/>
  <c r="T64" i="42"/>
  <c r="R64" i="42"/>
  <c r="P64" i="42"/>
  <c r="N64" i="42"/>
  <c r="L64" i="42"/>
  <c r="C64" i="42"/>
  <c r="H64" i="42" s="1"/>
  <c r="H76" i="42" s="1"/>
  <c r="T63" i="42"/>
  <c r="R63" i="42"/>
  <c r="P63" i="42"/>
  <c r="N63" i="42"/>
  <c r="L63" i="42"/>
  <c r="C63" i="42"/>
  <c r="J161" i="42" s="1"/>
  <c r="T62" i="42"/>
  <c r="R62" i="42"/>
  <c r="P62" i="42"/>
  <c r="N62" i="42"/>
  <c r="L62" i="42"/>
  <c r="C62" i="42"/>
  <c r="H62" i="42" s="1"/>
  <c r="H74" i="42" s="1"/>
  <c r="T61" i="42"/>
  <c r="R61" i="42"/>
  <c r="P61" i="42"/>
  <c r="N61" i="42"/>
  <c r="L61" i="42"/>
  <c r="G61" i="42"/>
  <c r="G73" i="42" s="1"/>
  <c r="E61" i="42"/>
  <c r="E73" i="42" s="1"/>
  <c r="C61" i="42"/>
  <c r="D61" i="42" s="1"/>
  <c r="D73" i="42" s="1"/>
  <c r="T60" i="42"/>
  <c r="R60" i="42"/>
  <c r="P60" i="42"/>
  <c r="N60" i="42"/>
  <c r="L60" i="42"/>
  <c r="C60" i="42"/>
  <c r="C72" i="42" s="1"/>
  <c r="T59" i="42"/>
  <c r="R59" i="42"/>
  <c r="P59" i="42"/>
  <c r="N59" i="42"/>
  <c r="L59" i="42"/>
  <c r="D59" i="42"/>
  <c r="D71" i="42" s="1"/>
  <c r="C59" i="42"/>
  <c r="H59" i="42" s="1"/>
  <c r="H71" i="42" s="1"/>
  <c r="W47" i="42"/>
  <c r="Y46" i="42"/>
  <c r="W46" i="42"/>
  <c r="W45" i="42"/>
  <c r="W40" i="42"/>
  <c r="X40" i="42" s="1"/>
  <c r="W39" i="42"/>
  <c r="X39" i="42" s="1"/>
  <c r="F39" i="42"/>
  <c r="E39" i="42"/>
  <c r="W38" i="42"/>
  <c r="X38" i="42" s="1"/>
  <c r="F38" i="42"/>
  <c r="E38" i="42"/>
  <c r="F37" i="42"/>
  <c r="E37" i="42"/>
  <c r="F36" i="42"/>
  <c r="E36" i="42"/>
  <c r="F35" i="42"/>
  <c r="E35" i="42"/>
  <c r="F34" i="42"/>
  <c r="E34" i="42"/>
  <c r="F33" i="42"/>
  <c r="E33" i="42"/>
  <c r="X32" i="42"/>
  <c r="AA34" i="42" s="1"/>
  <c r="U32" i="42"/>
  <c r="F32" i="42"/>
  <c r="E32" i="42"/>
  <c r="F31" i="42"/>
  <c r="E31" i="42"/>
  <c r="F30" i="42"/>
  <c r="E30" i="42"/>
  <c r="D20" i="42"/>
  <c r="C20" i="42"/>
  <c r="R13" i="42"/>
  <c r="Q10" i="42"/>
  <c r="P10" i="42"/>
  <c r="Y161" i="41"/>
  <c r="Y157" i="41"/>
  <c r="R13" i="41"/>
  <c r="Q203" i="41"/>
  <c r="R203" i="41" s="1"/>
  <c r="I185" i="41"/>
  <c r="J186" i="41"/>
  <c r="J187" i="41" s="1"/>
  <c r="J188" i="41" s="1"/>
  <c r="J189" i="41" s="1"/>
  <c r="J190" i="41" s="1"/>
  <c r="J191" i="41" s="1"/>
  <c r="J192" i="41" s="1"/>
  <c r="J193" i="41" s="1"/>
  <c r="J194" i="41" s="1"/>
  <c r="J155" i="41"/>
  <c r="S225" i="41" s="1"/>
  <c r="I71" i="41"/>
  <c r="I72" i="41"/>
  <c r="I73" i="41"/>
  <c r="I74" i="41"/>
  <c r="I75" i="41"/>
  <c r="I76" i="41"/>
  <c r="I77" i="41"/>
  <c r="I78" i="41"/>
  <c r="I79" i="41"/>
  <c r="I80" i="41"/>
  <c r="C60" i="41"/>
  <c r="J158" i="41" s="1"/>
  <c r="C61" i="41"/>
  <c r="J159" i="41" s="1"/>
  <c r="C62" i="41"/>
  <c r="J160" i="41" s="1"/>
  <c r="C63" i="41"/>
  <c r="J161" i="41" s="1"/>
  <c r="C64" i="41"/>
  <c r="J162" i="41" s="1"/>
  <c r="C65" i="41"/>
  <c r="J163" i="41" s="1"/>
  <c r="C66" i="41"/>
  <c r="E66" i="41" s="1"/>
  <c r="E78" i="41" s="1"/>
  <c r="C67" i="41"/>
  <c r="J165" i="41" s="1"/>
  <c r="C68" i="41"/>
  <c r="J166" i="41" s="1"/>
  <c r="C59" i="41"/>
  <c r="F59" i="41" s="1"/>
  <c r="F71" i="41" s="1"/>
  <c r="F31" i="41"/>
  <c r="F32" i="41"/>
  <c r="F33" i="41"/>
  <c r="F34" i="41"/>
  <c r="F35" i="41"/>
  <c r="F36" i="41"/>
  <c r="F37" i="41"/>
  <c r="F38" i="41"/>
  <c r="F39" i="41"/>
  <c r="F30" i="41"/>
  <c r="L65" i="41"/>
  <c r="L59" i="41"/>
  <c r="L297" i="41"/>
  <c r="P297" i="41" s="1"/>
  <c r="I297" i="41"/>
  <c r="L296" i="41"/>
  <c r="P296" i="41" s="1"/>
  <c r="I296" i="41"/>
  <c r="L295" i="41"/>
  <c r="P295" i="41" s="1"/>
  <c r="I295" i="41"/>
  <c r="L294" i="41"/>
  <c r="P294" i="41" s="1"/>
  <c r="I294" i="41"/>
  <c r="L293" i="41"/>
  <c r="P293" i="41" s="1"/>
  <c r="I293" i="41"/>
  <c r="L292" i="41"/>
  <c r="P292" i="41" s="1"/>
  <c r="I292" i="41"/>
  <c r="L291" i="41"/>
  <c r="P291" i="41" s="1"/>
  <c r="I291" i="41"/>
  <c r="L290" i="41"/>
  <c r="P290" i="41" s="1"/>
  <c r="I290" i="41"/>
  <c r="L289" i="41"/>
  <c r="P289" i="41" s="1"/>
  <c r="I289" i="41"/>
  <c r="L288" i="41"/>
  <c r="P288" i="41" s="1"/>
  <c r="I288" i="41"/>
  <c r="B285" i="41"/>
  <c r="I283" i="41"/>
  <c r="C282" i="41"/>
  <c r="D281" i="41"/>
  <c r="C281" i="41"/>
  <c r="B281" i="41"/>
  <c r="D280" i="41"/>
  <c r="B280" i="41"/>
  <c r="E279" i="41"/>
  <c r="B279" i="41"/>
  <c r="E278" i="41"/>
  <c r="B278" i="41"/>
  <c r="B277" i="41"/>
  <c r="Q266" i="41"/>
  <c r="L266" i="41"/>
  <c r="Q265" i="41"/>
  <c r="L265" i="41"/>
  <c r="Q264" i="41"/>
  <c r="L264" i="41"/>
  <c r="Q263" i="41"/>
  <c r="L263" i="41"/>
  <c r="Q262" i="41"/>
  <c r="L262" i="41"/>
  <c r="Q261" i="41"/>
  <c r="L261" i="41"/>
  <c r="Q260" i="41"/>
  <c r="L260" i="41"/>
  <c r="Q259" i="41"/>
  <c r="L259" i="41"/>
  <c r="Q258" i="41"/>
  <c r="L258" i="41"/>
  <c r="B258" i="41"/>
  <c r="Q257" i="41"/>
  <c r="L257" i="41"/>
  <c r="B257" i="41"/>
  <c r="M257" i="41" s="1"/>
  <c r="B256" i="41"/>
  <c r="R250" i="41"/>
  <c r="R249" i="41"/>
  <c r="R248" i="41"/>
  <c r="R247" i="41"/>
  <c r="R246" i="41"/>
  <c r="R245" i="41"/>
  <c r="R244" i="41"/>
  <c r="R243" i="41"/>
  <c r="R242" i="41"/>
  <c r="R241" i="41"/>
  <c r="L236" i="41"/>
  <c r="L235" i="41"/>
  <c r="L234" i="41"/>
  <c r="L233" i="41"/>
  <c r="L232" i="41"/>
  <c r="L231" i="41"/>
  <c r="L230" i="41"/>
  <c r="L229" i="41"/>
  <c r="L228" i="41"/>
  <c r="B228" i="41"/>
  <c r="L227" i="41"/>
  <c r="B227" i="41"/>
  <c r="M227" i="41" s="1"/>
  <c r="B226" i="41"/>
  <c r="H205" i="41"/>
  <c r="I213" i="41" s="1"/>
  <c r="M213" i="41" s="1"/>
  <c r="I194" i="41"/>
  <c r="G194" i="41"/>
  <c r="S194" i="41" s="1"/>
  <c r="X193" i="41"/>
  <c r="I193" i="41"/>
  <c r="G193" i="41"/>
  <c r="S193" i="41" s="1"/>
  <c r="I192" i="41"/>
  <c r="G192" i="41"/>
  <c r="H295" i="41" s="1"/>
  <c r="X191" i="41"/>
  <c r="I191" i="41"/>
  <c r="G191" i="41"/>
  <c r="S191" i="41" s="1"/>
  <c r="I190" i="41"/>
  <c r="G190" i="41"/>
  <c r="S190" i="41" s="1"/>
  <c r="I189" i="41"/>
  <c r="G189" i="41"/>
  <c r="H292" i="41" s="1"/>
  <c r="X188" i="41"/>
  <c r="I188" i="41"/>
  <c r="G188" i="41"/>
  <c r="H291" i="41" s="1"/>
  <c r="W187" i="41"/>
  <c r="I187" i="41"/>
  <c r="G187" i="41"/>
  <c r="H290" i="41" s="1"/>
  <c r="I186" i="41"/>
  <c r="G186" i="41"/>
  <c r="S186" i="41" s="1"/>
  <c r="L185" i="41"/>
  <c r="L186" i="41" s="1"/>
  <c r="G185" i="41"/>
  <c r="F257" i="41" s="1"/>
  <c r="G257" i="41" s="1"/>
  <c r="I179" i="41"/>
  <c r="G166" i="41"/>
  <c r="H166" i="41" s="1"/>
  <c r="G165" i="41"/>
  <c r="H165" i="41" s="1"/>
  <c r="G164" i="41"/>
  <c r="H164" i="41" s="1"/>
  <c r="G163" i="41"/>
  <c r="H163" i="41" s="1"/>
  <c r="G162" i="41"/>
  <c r="H162" i="41" s="1"/>
  <c r="G161" i="41"/>
  <c r="H161" i="41" s="1"/>
  <c r="G160" i="41"/>
  <c r="H160" i="41" s="1"/>
  <c r="G159" i="41"/>
  <c r="H159" i="41" s="1"/>
  <c r="G158" i="41"/>
  <c r="H158" i="41" s="1"/>
  <c r="G157" i="41"/>
  <c r="H157" i="41" s="1"/>
  <c r="J143" i="41"/>
  <c r="D143" i="41"/>
  <c r="J142" i="41"/>
  <c r="D142" i="41"/>
  <c r="J141" i="41"/>
  <c r="D141" i="41"/>
  <c r="J140" i="41"/>
  <c r="D140" i="41"/>
  <c r="J139" i="41"/>
  <c r="D139" i="41"/>
  <c r="J138" i="41"/>
  <c r="D138" i="41"/>
  <c r="J137" i="41"/>
  <c r="D137" i="41"/>
  <c r="J136" i="41"/>
  <c r="D136" i="41"/>
  <c r="J135" i="41"/>
  <c r="D135" i="41"/>
  <c r="J134" i="41"/>
  <c r="D134" i="41"/>
  <c r="E117" i="41"/>
  <c r="E116" i="41"/>
  <c r="E115" i="41"/>
  <c r="E114" i="41"/>
  <c r="E113" i="41"/>
  <c r="E112" i="41"/>
  <c r="E111" i="41"/>
  <c r="E110" i="41"/>
  <c r="E109" i="41"/>
  <c r="T68" i="41"/>
  <c r="R68" i="41"/>
  <c r="P68" i="41"/>
  <c r="N68" i="41"/>
  <c r="L68" i="41"/>
  <c r="T67" i="41"/>
  <c r="R67" i="41"/>
  <c r="P67" i="41"/>
  <c r="N67" i="41"/>
  <c r="L67" i="41"/>
  <c r="D67" i="41"/>
  <c r="D79" i="41" s="1"/>
  <c r="T66" i="41"/>
  <c r="R66" i="41"/>
  <c r="P66" i="41"/>
  <c r="N66" i="41"/>
  <c r="L66" i="41"/>
  <c r="T65" i="41"/>
  <c r="R65" i="41"/>
  <c r="P65" i="41"/>
  <c r="N65" i="41"/>
  <c r="T64" i="41"/>
  <c r="R64" i="41"/>
  <c r="P64" i="41"/>
  <c r="N64" i="41"/>
  <c r="L64" i="41"/>
  <c r="T63" i="41"/>
  <c r="R63" i="41"/>
  <c r="P63" i="41"/>
  <c r="N63" i="41"/>
  <c r="L63" i="41"/>
  <c r="T62" i="41"/>
  <c r="R62" i="41"/>
  <c r="P62" i="41"/>
  <c r="N62" i="41"/>
  <c r="L62" i="41"/>
  <c r="T61" i="41"/>
  <c r="R61" i="41"/>
  <c r="P61" i="41"/>
  <c r="N61" i="41"/>
  <c r="L61" i="41"/>
  <c r="T60" i="41"/>
  <c r="R60" i="41"/>
  <c r="P60" i="41"/>
  <c r="N60" i="41"/>
  <c r="L60" i="41"/>
  <c r="T59" i="41"/>
  <c r="R59" i="41"/>
  <c r="P59" i="41"/>
  <c r="N59" i="41"/>
  <c r="W47" i="41"/>
  <c r="Y46" i="41"/>
  <c r="W46" i="41"/>
  <c r="W45" i="41"/>
  <c r="W40" i="41"/>
  <c r="X40" i="41" s="1"/>
  <c r="E39" i="41"/>
  <c r="W39" i="41"/>
  <c r="X39" i="41" s="1"/>
  <c r="E38" i="41"/>
  <c r="W38" i="41"/>
  <c r="X38" i="41" s="1"/>
  <c r="E37" i="41"/>
  <c r="E36" i="41"/>
  <c r="E35" i="41"/>
  <c r="E34" i="41"/>
  <c r="E33" i="41"/>
  <c r="E32" i="41"/>
  <c r="X32" i="41"/>
  <c r="U32" i="41"/>
  <c r="E31" i="41"/>
  <c r="E30" i="41"/>
  <c r="D20" i="41"/>
  <c r="C20" i="41"/>
  <c r="Q10" i="41"/>
  <c r="P10" i="41"/>
  <c r="X31" i="38"/>
  <c r="U31" i="38"/>
  <c r="AA33" i="38" s="1"/>
  <c r="Y45" i="38"/>
  <c r="W38" i="38"/>
  <c r="X38" i="38" s="1"/>
  <c r="W39" i="38"/>
  <c r="X39" i="38" s="1"/>
  <c r="W37" i="38"/>
  <c r="X37" i="38" s="1"/>
  <c r="W45" i="38"/>
  <c r="W46" i="38"/>
  <c r="W44" i="38"/>
  <c r="I35" i="38"/>
  <c r="D59" i="38"/>
  <c r="X193" i="38"/>
  <c r="X191" i="38"/>
  <c r="X188" i="38"/>
  <c r="W187" i="38"/>
  <c r="K138" i="52" l="1"/>
  <c r="D161" i="52"/>
  <c r="D163" i="52"/>
  <c r="K140" i="52"/>
  <c r="K141" i="52"/>
  <c r="D164" i="52"/>
  <c r="D158" i="52"/>
  <c r="K135" i="52"/>
  <c r="F139" i="52"/>
  <c r="I139" i="52" s="1"/>
  <c r="F143" i="52"/>
  <c r="I143" i="52" s="1"/>
  <c r="E136" i="52"/>
  <c r="I136" i="52" s="1"/>
  <c r="E137" i="52"/>
  <c r="I137" i="52" s="1"/>
  <c r="E134" i="52"/>
  <c r="I134" i="52" s="1"/>
  <c r="F142" i="52"/>
  <c r="I142" i="52" s="1"/>
  <c r="D158" i="51"/>
  <c r="K135" i="51"/>
  <c r="E137" i="51"/>
  <c r="I137" i="51" s="1"/>
  <c r="K137" i="51" s="1"/>
  <c r="E136" i="51"/>
  <c r="I136" i="51" s="1"/>
  <c r="D159" i="51" s="1"/>
  <c r="F143" i="51"/>
  <c r="I143" i="51" s="1"/>
  <c r="K143" i="51" s="1"/>
  <c r="E134" i="51"/>
  <c r="I134" i="51" s="1"/>
  <c r="D157" i="51" s="1"/>
  <c r="F142" i="51"/>
  <c r="I142" i="51" s="1"/>
  <c r="F140" i="51"/>
  <c r="I140" i="51" s="1"/>
  <c r="K138" i="51"/>
  <c r="D161" i="51"/>
  <c r="F139" i="51"/>
  <c r="I139" i="51" s="1"/>
  <c r="F141" i="51"/>
  <c r="I141" i="51" s="1"/>
  <c r="F158" i="51"/>
  <c r="C158" i="51"/>
  <c r="M158" i="51" s="1"/>
  <c r="P228" i="51" s="1"/>
  <c r="Q228" i="51" s="1"/>
  <c r="R228" i="51" s="1"/>
  <c r="U158" i="51"/>
  <c r="F186" i="51"/>
  <c r="E138" i="50"/>
  <c r="I138" i="50" s="1"/>
  <c r="D159" i="50"/>
  <c r="K136" i="50"/>
  <c r="K138" i="50"/>
  <c r="D161" i="50"/>
  <c r="D165" i="50"/>
  <c r="K142" i="50"/>
  <c r="E137" i="50"/>
  <c r="I137" i="50" s="1"/>
  <c r="E134" i="50"/>
  <c r="I134" i="50" s="1"/>
  <c r="E135" i="50"/>
  <c r="I135" i="50" s="1"/>
  <c r="D163" i="50"/>
  <c r="K140" i="50"/>
  <c r="F141" i="50"/>
  <c r="I141" i="50" s="1"/>
  <c r="F139" i="50"/>
  <c r="I139" i="50" s="1"/>
  <c r="F143" i="50"/>
  <c r="I143" i="50" s="1"/>
  <c r="E137" i="49"/>
  <c r="I137" i="49" s="1"/>
  <c r="D165" i="49"/>
  <c r="K142" i="49"/>
  <c r="D158" i="49"/>
  <c r="K135" i="49"/>
  <c r="F141" i="49"/>
  <c r="I141" i="49" s="1"/>
  <c r="F143" i="49"/>
  <c r="I143" i="49" s="1"/>
  <c r="D159" i="49"/>
  <c r="K136" i="49"/>
  <c r="K137" i="49"/>
  <c r="D160" i="49"/>
  <c r="F140" i="49"/>
  <c r="I140" i="49" s="1"/>
  <c r="E134" i="49"/>
  <c r="I134" i="49" s="1"/>
  <c r="F139" i="49"/>
  <c r="I139" i="49" s="1"/>
  <c r="K138" i="49"/>
  <c r="D161" i="49"/>
  <c r="K135" i="48"/>
  <c r="K138" i="48"/>
  <c r="D161" i="48"/>
  <c r="D159" i="48"/>
  <c r="K136" i="48"/>
  <c r="F164" i="48"/>
  <c r="C164" i="48"/>
  <c r="M164" i="48" s="1"/>
  <c r="P234" i="48" s="1"/>
  <c r="Q234" i="48" s="1"/>
  <c r="R234" i="48" s="1"/>
  <c r="F192" i="48"/>
  <c r="U164" i="48"/>
  <c r="N164" i="48"/>
  <c r="O164" i="48" s="1"/>
  <c r="K139" i="48"/>
  <c r="D162" i="48"/>
  <c r="F158" i="48"/>
  <c r="C158" i="48"/>
  <c r="M158" i="48" s="1"/>
  <c r="P228" i="48" s="1"/>
  <c r="Q228" i="48" s="1"/>
  <c r="R228" i="48" s="1"/>
  <c r="U158" i="48"/>
  <c r="F186" i="48"/>
  <c r="D163" i="48"/>
  <c r="K140" i="48"/>
  <c r="D165" i="48"/>
  <c r="K142" i="48"/>
  <c r="K143" i="48"/>
  <c r="D166" i="48"/>
  <c r="K137" i="48"/>
  <c r="D160" i="48"/>
  <c r="D157" i="48"/>
  <c r="K134" i="48"/>
  <c r="R257" i="47"/>
  <c r="J288" i="47"/>
  <c r="J297" i="47"/>
  <c r="D194" i="47"/>
  <c r="S189" i="47"/>
  <c r="H292" i="47"/>
  <c r="S187" i="47"/>
  <c r="R259" i="47"/>
  <c r="F259" i="47"/>
  <c r="G259" i="47" s="1"/>
  <c r="H259" i="47" s="1"/>
  <c r="N290" i="47" s="1"/>
  <c r="S185" i="47"/>
  <c r="E145" i="47"/>
  <c r="E127" i="47" a="1"/>
  <c r="E127" i="47" s="1"/>
  <c r="F127" i="47"/>
  <c r="F143" i="47" s="1"/>
  <c r="I143" i="47" s="1"/>
  <c r="E129" i="47"/>
  <c r="E126" i="47"/>
  <c r="R258" i="47"/>
  <c r="R262" i="47"/>
  <c r="N231" i="47"/>
  <c r="O231" i="47" s="1"/>
  <c r="N236" i="47"/>
  <c r="O236" i="47" s="1"/>
  <c r="N228" i="47"/>
  <c r="O228" i="47" s="1"/>
  <c r="N227" i="47"/>
  <c r="O227" i="47" s="1"/>
  <c r="R264" i="47"/>
  <c r="N232" i="47"/>
  <c r="O232" i="47" s="1"/>
  <c r="G66" i="47"/>
  <c r="G78" i="47" s="1"/>
  <c r="D62" i="47"/>
  <c r="D74" i="47" s="1"/>
  <c r="H66" i="47"/>
  <c r="H78" i="47" s="1"/>
  <c r="E128" i="47"/>
  <c r="S192" i="47"/>
  <c r="F265" i="47"/>
  <c r="G265" i="47" s="1"/>
  <c r="H265" i="47" s="1"/>
  <c r="N296" i="47" s="1"/>
  <c r="J162" i="47"/>
  <c r="F62" i="47"/>
  <c r="F74" i="47" s="1"/>
  <c r="G62" i="47"/>
  <c r="G74" i="47" s="1"/>
  <c r="F65" i="47"/>
  <c r="F77" i="47" s="1"/>
  <c r="E68" i="47"/>
  <c r="E80" i="47" s="1"/>
  <c r="C72" i="47"/>
  <c r="J161" i="47"/>
  <c r="H288" i="47"/>
  <c r="AA32" i="47"/>
  <c r="H62" i="47"/>
  <c r="H74" i="47" s="1"/>
  <c r="G65" i="47"/>
  <c r="G77" i="47" s="1"/>
  <c r="F68" i="47"/>
  <c r="F80" i="47" s="1"/>
  <c r="C79" i="47"/>
  <c r="H293" i="47"/>
  <c r="G68" i="47"/>
  <c r="G80" i="47" s="1"/>
  <c r="J166" i="47"/>
  <c r="D68" i="47"/>
  <c r="D80" i="47" s="1"/>
  <c r="D64" i="47"/>
  <c r="D76" i="47" s="1"/>
  <c r="C77" i="47"/>
  <c r="D145" i="47"/>
  <c r="E64" i="47"/>
  <c r="E76" i="47" s="1"/>
  <c r="G61" i="47"/>
  <c r="G73" i="47" s="1"/>
  <c r="F64" i="47"/>
  <c r="F76" i="47" s="1"/>
  <c r="E67" i="47"/>
  <c r="E79" i="47" s="1"/>
  <c r="C75" i="47"/>
  <c r="J165" i="47"/>
  <c r="F260" i="47"/>
  <c r="G260" i="47" s="1"/>
  <c r="H260" i="47" s="1"/>
  <c r="N291" i="47" s="1"/>
  <c r="F264" i="47"/>
  <c r="G264" i="47" s="1"/>
  <c r="H264" i="47" s="1"/>
  <c r="N295" i="47" s="1"/>
  <c r="F266" i="47"/>
  <c r="G266" i="47" s="1"/>
  <c r="H266" i="47" s="1"/>
  <c r="N297" i="47" s="1"/>
  <c r="H297" i="47"/>
  <c r="G64" i="47"/>
  <c r="G76" i="47" s="1"/>
  <c r="D60" i="47"/>
  <c r="D72" i="47" s="1"/>
  <c r="I214" i="47"/>
  <c r="M214" i="47" s="1"/>
  <c r="H291" i="47"/>
  <c r="J164" i="47"/>
  <c r="H296" i="47"/>
  <c r="J158" i="47"/>
  <c r="H284" i="47"/>
  <c r="D66" i="47"/>
  <c r="D78" i="47" s="1"/>
  <c r="E66" i="47"/>
  <c r="E78" i="47" s="1"/>
  <c r="C78" i="47"/>
  <c r="H182" i="47"/>
  <c r="I209" i="46"/>
  <c r="M209" i="46" s="1"/>
  <c r="I213" i="46"/>
  <c r="M213" i="46" s="1"/>
  <c r="I210" i="46"/>
  <c r="M210" i="46" s="1"/>
  <c r="I211" i="46"/>
  <c r="M211" i="46" s="1"/>
  <c r="I212" i="46"/>
  <c r="M212" i="46" s="1"/>
  <c r="N259" i="46"/>
  <c r="O259" i="46" s="1"/>
  <c r="R259" i="46" s="1"/>
  <c r="N260" i="46"/>
  <c r="O260" i="46" s="1"/>
  <c r="R260" i="46" s="1"/>
  <c r="N261" i="46"/>
  <c r="O261" i="46" s="1"/>
  <c r="R261" i="46" s="1"/>
  <c r="H260" i="46"/>
  <c r="N291" i="46" s="1"/>
  <c r="N262" i="46"/>
  <c r="O262" i="46" s="1"/>
  <c r="R262" i="46" s="1"/>
  <c r="N263" i="46"/>
  <c r="O263" i="46" s="1"/>
  <c r="R263" i="46" s="1"/>
  <c r="N264" i="46"/>
  <c r="O264" i="46" s="1"/>
  <c r="R264" i="46" s="1"/>
  <c r="H262" i="46"/>
  <c r="N293" i="46" s="1"/>
  <c r="N257" i="46"/>
  <c r="O257" i="46" s="1"/>
  <c r="R257" i="46" s="1"/>
  <c r="H257" i="46"/>
  <c r="N288" i="46" s="1"/>
  <c r="N234" i="46"/>
  <c r="O234" i="46" s="1"/>
  <c r="N265" i="46"/>
  <c r="O265" i="46" s="1"/>
  <c r="R265" i="46" s="1"/>
  <c r="N236" i="46"/>
  <c r="O236" i="46" s="1"/>
  <c r="N235" i="46"/>
  <c r="O235" i="46" s="1"/>
  <c r="N258" i="46"/>
  <c r="O258" i="46" s="1"/>
  <c r="R258" i="46" s="1"/>
  <c r="N266" i="46"/>
  <c r="O266" i="46" s="1"/>
  <c r="R266" i="46" s="1"/>
  <c r="I293" i="46"/>
  <c r="F265" i="46"/>
  <c r="G265" i="46" s="1"/>
  <c r="H265" i="46" s="1"/>
  <c r="N296" i="46" s="1"/>
  <c r="F264" i="46"/>
  <c r="G264" i="46" s="1"/>
  <c r="H264" i="46" s="1"/>
  <c r="N295" i="46" s="1"/>
  <c r="S190" i="46"/>
  <c r="S192" i="46"/>
  <c r="F261" i="46"/>
  <c r="G261" i="46" s="1"/>
  <c r="H261" i="46" s="1"/>
  <c r="N292" i="46" s="1"/>
  <c r="S189" i="46"/>
  <c r="S188" i="46"/>
  <c r="F259" i="46"/>
  <c r="G259" i="46" s="1"/>
  <c r="H259" i="46" s="1"/>
  <c r="N290" i="46" s="1"/>
  <c r="H289" i="46"/>
  <c r="S185" i="46"/>
  <c r="E128" i="46"/>
  <c r="E127" i="46" a="1"/>
  <c r="E127" i="46" s="1"/>
  <c r="D145" i="46"/>
  <c r="E129" i="46"/>
  <c r="E126" i="46"/>
  <c r="E137" i="46" s="1"/>
  <c r="F129" i="46"/>
  <c r="N230" i="46"/>
  <c r="O230" i="46" s="1"/>
  <c r="N227" i="46"/>
  <c r="O227" i="46" s="1"/>
  <c r="N228" i="46"/>
  <c r="O228" i="46" s="1"/>
  <c r="N229" i="46"/>
  <c r="O229" i="46" s="1"/>
  <c r="J289" i="46"/>
  <c r="N232" i="46"/>
  <c r="O232" i="46" s="1"/>
  <c r="N233" i="46"/>
  <c r="O233" i="46" s="1"/>
  <c r="G68" i="46"/>
  <c r="G80" i="46" s="1"/>
  <c r="N231" i="46"/>
  <c r="O231" i="46" s="1"/>
  <c r="F263" i="46"/>
  <c r="G263" i="46" s="1"/>
  <c r="H263" i="46" s="1"/>
  <c r="N294" i="46" s="1"/>
  <c r="D64" i="46"/>
  <c r="D76" i="46" s="1"/>
  <c r="H68" i="46"/>
  <c r="H80" i="46" s="1"/>
  <c r="H294" i="46"/>
  <c r="E64" i="46"/>
  <c r="E76" i="46" s="1"/>
  <c r="D67" i="46"/>
  <c r="D79" i="46" s="1"/>
  <c r="F64" i="46"/>
  <c r="F76" i="46" s="1"/>
  <c r="E67" i="46"/>
  <c r="E79" i="46" s="1"/>
  <c r="C75" i="46"/>
  <c r="H288" i="46"/>
  <c r="AA34" i="46"/>
  <c r="G64" i="46"/>
  <c r="G76" i="46" s="1"/>
  <c r="F67" i="46"/>
  <c r="F79" i="46" s="1"/>
  <c r="H293" i="46"/>
  <c r="H64" i="46"/>
  <c r="H76" i="46" s="1"/>
  <c r="G67" i="46"/>
  <c r="G79" i="46" s="1"/>
  <c r="J288" i="46"/>
  <c r="C80" i="46"/>
  <c r="D66" i="46"/>
  <c r="D78" i="46" s="1"/>
  <c r="C71" i="46"/>
  <c r="F126" i="46"/>
  <c r="H182" i="46"/>
  <c r="S187" i="46"/>
  <c r="F258" i="46"/>
  <c r="G258" i="46" s="1"/>
  <c r="H258" i="46" s="1"/>
  <c r="N289" i="46" s="1"/>
  <c r="F266" i="46"/>
  <c r="G266" i="46" s="1"/>
  <c r="H266" i="46" s="1"/>
  <c r="N297" i="46" s="1"/>
  <c r="H297" i="46"/>
  <c r="G66" i="46"/>
  <c r="G78" i="46" s="1"/>
  <c r="I214" i="46"/>
  <c r="M214" i="46" s="1"/>
  <c r="H291" i="46"/>
  <c r="D59" i="46"/>
  <c r="D71" i="46" s="1"/>
  <c r="E59" i="46"/>
  <c r="E71" i="46" s="1"/>
  <c r="D62" i="46"/>
  <c r="D74" i="46" s="1"/>
  <c r="F128" i="46"/>
  <c r="H296" i="46"/>
  <c r="I208" i="46"/>
  <c r="M208" i="46" s="1"/>
  <c r="H284" i="46"/>
  <c r="F59" i="46"/>
  <c r="F71" i="46" s="1"/>
  <c r="G59" i="46"/>
  <c r="G71" i="46" s="1"/>
  <c r="F62" i="46"/>
  <c r="F74" i="46" s="1"/>
  <c r="E65" i="46"/>
  <c r="E77" i="46" s="1"/>
  <c r="D68" i="46"/>
  <c r="D80" i="46" s="1"/>
  <c r="G62" i="46"/>
  <c r="G74" i="46" s="1"/>
  <c r="F65" i="46"/>
  <c r="F77" i="46" s="1"/>
  <c r="E68" i="46"/>
  <c r="E80" i="46" s="1"/>
  <c r="F68" i="46"/>
  <c r="F80" i="46" s="1"/>
  <c r="N234" i="45"/>
  <c r="O234" i="45" s="1"/>
  <c r="I207" i="45"/>
  <c r="M207" i="45" s="1"/>
  <c r="I211" i="45"/>
  <c r="M211" i="45" s="1"/>
  <c r="N265" i="45"/>
  <c r="O265" i="45" s="1"/>
  <c r="R265" i="45" s="1"/>
  <c r="N264" i="45"/>
  <c r="O264" i="45" s="1"/>
  <c r="R264" i="45" s="1"/>
  <c r="I212" i="45"/>
  <c r="M212" i="45" s="1"/>
  <c r="N259" i="45"/>
  <c r="O259" i="45" s="1"/>
  <c r="R259" i="45" s="1"/>
  <c r="N262" i="45"/>
  <c r="O262" i="45" s="1"/>
  <c r="R262" i="45" s="1"/>
  <c r="N263" i="45"/>
  <c r="O263" i="45" s="1"/>
  <c r="R263" i="45" s="1"/>
  <c r="F265" i="45"/>
  <c r="G265" i="45" s="1"/>
  <c r="H265" i="45" s="1"/>
  <c r="N296" i="45" s="1"/>
  <c r="S190" i="45"/>
  <c r="F261" i="45"/>
  <c r="G261" i="45" s="1"/>
  <c r="H261" i="45" s="1"/>
  <c r="N292" i="45" s="1"/>
  <c r="S189" i="45"/>
  <c r="S187" i="45"/>
  <c r="F259" i="45"/>
  <c r="G259" i="45" s="1"/>
  <c r="H259" i="45" s="1"/>
  <c r="N290" i="45" s="1"/>
  <c r="H289" i="45"/>
  <c r="H288" i="45"/>
  <c r="F257" i="45"/>
  <c r="G257" i="45" s="1"/>
  <c r="H257" i="45" s="1"/>
  <c r="N288" i="45" s="1"/>
  <c r="F128" i="45"/>
  <c r="D145" i="45"/>
  <c r="F127" i="45"/>
  <c r="E145" i="45"/>
  <c r="F129" i="45"/>
  <c r="F126" i="45"/>
  <c r="E128" i="45"/>
  <c r="E127" i="45"/>
  <c r="R258" i="45"/>
  <c r="R266" i="45"/>
  <c r="N229" i="45"/>
  <c r="O229" i="45" s="1"/>
  <c r="R260" i="45"/>
  <c r="N230" i="45"/>
  <c r="O230" i="45" s="1"/>
  <c r="N232" i="45"/>
  <c r="O232" i="45" s="1"/>
  <c r="N233" i="45"/>
  <c r="O233" i="45" s="1"/>
  <c r="L187" i="45"/>
  <c r="J289" i="45"/>
  <c r="N235" i="45"/>
  <c r="O235" i="45" s="1"/>
  <c r="R257" i="45"/>
  <c r="E61" i="45"/>
  <c r="E73" i="45" s="1"/>
  <c r="D64" i="45"/>
  <c r="D76" i="45" s="1"/>
  <c r="H68" i="45"/>
  <c r="H80" i="45" s="1"/>
  <c r="C77" i="45"/>
  <c r="I209" i="45"/>
  <c r="M209" i="45" s="1"/>
  <c r="H294" i="45"/>
  <c r="E64" i="45"/>
  <c r="E76" i="45" s="1"/>
  <c r="D67" i="45"/>
  <c r="D79" i="45" s="1"/>
  <c r="S192" i="45"/>
  <c r="I206" i="45"/>
  <c r="M206" i="45" s="1"/>
  <c r="N228" i="45"/>
  <c r="O228" i="45" s="1"/>
  <c r="N236" i="45"/>
  <c r="O236" i="45" s="1"/>
  <c r="N231" i="45"/>
  <c r="O231" i="45" s="1"/>
  <c r="F64" i="45"/>
  <c r="F76" i="45" s="1"/>
  <c r="C75" i="45"/>
  <c r="G64" i="45"/>
  <c r="G76" i="45" s="1"/>
  <c r="S188" i="45"/>
  <c r="H293" i="45"/>
  <c r="H64" i="45"/>
  <c r="H76" i="45" s="1"/>
  <c r="J288" i="45"/>
  <c r="E60" i="45"/>
  <c r="E72" i="45" s="1"/>
  <c r="D63" i="45"/>
  <c r="D75" i="45" s="1"/>
  <c r="C80" i="45"/>
  <c r="E126" i="45"/>
  <c r="J158" i="45"/>
  <c r="S191" i="45"/>
  <c r="I210" i="45"/>
  <c r="M210" i="45" s="1"/>
  <c r="C71" i="45"/>
  <c r="F63" i="45"/>
  <c r="F75" i="45" s="1"/>
  <c r="J157" i="45"/>
  <c r="J163" i="45"/>
  <c r="F258" i="45"/>
  <c r="G258" i="45" s="1"/>
  <c r="H258" i="45" s="1"/>
  <c r="N289" i="45" s="1"/>
  <c r="F260" i="45"/>
  <c r="G260" i="45" s="1"/>
  <c r="H260" i="45" s="1"/>
  <c r="N291" i="45" s="1"/>
  <c r="F264" i="45"/>
  <c r="G264" i="45" s="1"/>
  <c r="H264" i="45" s="1"/>
  <c r="N295" i="45" s="1"/>
  <c r="F266" i="45"/>
  <c r="G266" i="45" s="1"/>
  <c r="H266" i="45" s="1"/>
  <c r="N297" i="45" s="1"/>
  <c r="H297" i="45"/>
  <c r="D59" i="45"/>
  <c r="D71" i="45" s="1"/>
  <c r="C76" i="45"/>
  <c r="I214" i="45"/>
  <c r="M214" i="45" s="1"/>
  <c r="H291" i="45"/>
  <c r="H296" i="45"/>
  <c r="F59" i="45"/>
  <c r="F71" i="45" s="1"/>
  <c r="E62" i="45"/>
  <c r="E74" i="45" s="1"/>
  <c r="D65" i="45"/>
  <c r="D77" i="45" s="1"/>
  <c r="C74" i="45"/>
  <c r="I208" i="45"/>
  <c r="M208" i="45" s="1"/>
  <c r="G59" i="45"/>
  <c r="G71" i="45" s="1"/>
  <c r="F62" i="45"/>
  <c r="F74" i="45" s="1"/>
  <c r="E65" i="45"/>
  <c r="E77" i="45" s="1"/>
  <c r="D68" i="45"/>
  <c r="D80" i="45" s="1"/>
  <c r="G62" i="45"/>
  <c r="G74" i="45" s="1"/>
  <c r="F65" i="45"/>
  <c r="F77" i="45" s="1"/>
  <c r="E68" i="45"/>
  <c r="E80" i="45" s="1"/>
  <c r="F68" i="45"/>
  <c r="F80" i="45" s="1"/>
  <c r="I206" i="42"/>
  <c r="M206" i="42" s="1"/>
  <c r="D63" i="42"/>
  <c r="D75" i="42" s="1"/>
  <c r="I211" i="42"/>
  <c r="M211" i="42" s="1"/>
  <c r="H266" i="42"/>
  <c r="N297" i="42" s="1"/>
  <c r="H288" i="42"/>
  <c r="AA31" i="38"/>
  <c r="E63" i="42"/>
  <c r="E75" i="42" s="1"/>
  <c r="D65" i="42"/>
  <c r="D77" i="42" s="1"/>
  <c r="H262" i="42"/>
  <c r="N293" i="42" s="1"/>
  <c r="N231" i="42"/>
  <c r="O231" i="42" s="1"/>
  <c r="N259" i="42"/>
  <c r="O259" i="42" s="1"/>
  <c r="F128" i="43"/>
  <c r="N236" i="43"/>
  <c r="O236" i="43" s="1"/>
  <c r="N227" i="43"/>
  <c r="O227" i="43" s="1"/>
  <c r="F63" i="42"/>
  <c r="F75" i="42" s="1"/>
  <c r="F127" i="42"/>
  <c r="J163" i="43"/>
  <c r="G63" i="42"/>
  <c r="G75" i="42" s="1"/>
  <c r="D65" i="43"/>
  <c r="D77" i="43" s="1"/>
  <c r="S193" i="43"/>
  <c r="N228" i="43"/>
  <c r="O228" i="43" s="1"/>
  <c r="AA32" i="42"/>
  <c r="D62" i="42"/>
  <c r="D74" i="42" s="1"/>
  <c r="H65" i="42"/>
  <c r="H77" i="42" s="1"/>
  <c r="S185" i="42"/>
  <c r="F62" i="42"/>
  <c r="F74" i="42" s="1"/>
  <c r="J163" i="42"/>
  <c r="F65" i="43"/>
  <c r="F77" i="43" s="1"/>
  <c r="N229" i="43"/>
  <c r="O229" i="43" s="1"/>
  <c r="D61" i="43"/>
  <c r="D73" i="43" s="1"/>
  <c r="H63" i="42"/>
  <c r="H75" i="42" s="1"/>
  <c r="C79" i="42"/>
  <c r="F61" i="43"/>
  <c r="F73" i="43" s="1"/>
  <c r="F60" i="42"/>
  <c r="F72" i="42" s="1"/>
  <c r="F67" i="42"/>
  <c r="F79" i="42" s="1"/>
  <c r="C74" i="42"/>
  <c r="F68" i="41"/>
  <c r="F80" i="41" s="1"/>
  <c r="G68" i="41"/>
  <c r="G80" i="41" s="1"/>
  <c r="G62" i="42"/>
  <c r="G74" i="42" s="1"/>
  <c r="H265" i="42"/>
  <c r="N296" i="42" s="1"/>
  <c r="R262" i="42"/>
  <c r="AA32" i="43"/>
  <c r="G65" i="43"/>
  <c r="G77" i="43" s="1"/>
  <c r="C73" i="43"/>
  <c r="E126" i="42"/>
  <c r="E138" i="42" s="1"/>
  <c r="I138" i="42" s="1"/>
  <c r="E62" i="42"/>
  <c r="E74" i="42" s="1"/>
  <c r="N229" i="42"/>
  <c r="O229" i="42" s="1"/>
  <c r="D145" i="42"/>
  <c r="N262" i="42"/>
  <c r="O262" i="42" s="1"/>
  <c r="H68" i="41"/>
  <c r="H80" i="41" s="1"/>
  <c r="J164" i="42"/>
  <c r="F263" i="42"/>
  <c r="G263" i="42" s="1"/>
  <c r="H263" i="42" s="1"/>
  <c r="N294" i="42" s="1"/>
  <c r="H65" i="43"/>
  <c r="H77" i="43" s="1"/>
  <c r="D60" i="42"/>
  <c r="D72" i="42" s="1"/>
  <c r="E60" i="42"/>
  <c r="E72" i="42" s="1"/>
  <c r="F126" i="41"/>
  <c r="S194" i="43"/>
  <c r="D68" i="41"/>
  <c r="D80" i="41" s="1"/>
  <c r="G61" i="43"/>
  <c r="G73" i="43" s="1"/>
  <c r="E68" i="41"/>
  <c r="E80" i="41" s="1"/>
  <c r="H67" i="42"/>
  <c r="H79" i="42" s="1"/>
  <c r="E127" i="42"/>
  <c r="E60" i="43"/>
  <c r="E72" i="43" s="1"/>
  <c r="E145" i="43"/>
  <c r="J166" i="43"/>
  <c r="J165" i="42"/>
  <c r="N235" i="42"/>
  <c r="O235" i="42" s="1"/>
  <c r="N234" i="43"/>
  <c r="O234" i="43" s="1"/>
  <c r="F265" i="43"/>
  <c r="G265" i="43" s="1"/>
  <c r="H265" i="43" s="1"/>
  <c r="N296" i="43" s="1"/>
  <c r="F61" i="42"/>
  <c r="F73" i="42" s="1"/>
  <c r="G66" i="42"/>
  <c r="G78" i="42" s="1"/>
  <c r="G68" i="42"/>
  <c r="G80" i="42" s="1"/>
  <c r="E64" i="43"/>
  <c r="E76" i="43" s="1"/>
  <c r="E68" i="43"/>
  <c r="E80" i="43" s="1"/>
  <c r="I206" i="43"/>
  <c r="M206" i="43" s="1"/>
  <c r="N235" i="43"/>
  <c r="O235" i="43" s="1"/>
  <c r="N265" i="43"/>
  <c r="O265" i="43" s="1"/>
  <c r="R265" i="43" s="1"/>
  <c r="I214" i="43"/>
  <c r="M214" i="43" s="1"/>
  <c r="I210" i="43"/>
  <c r="M210" i="43" s="1"/>
  <c r="L297" i="43"/>
  <c r="P297" i="43" s="1"/>
  <c r="F262" i="43"/>
  <c r="G262" i="43" s="1"/>
  <c r="H262" i="43" s="1"/>
  <c r="N293" i="43" s="1"/>
  <c r="S190" i="43"/>
  <c r="R259" i="43"/>
  <c r="R262" i="43"/>
  <c r="N266" i="43"/>
  <c r="O266" i="43" s="1"/>
  <c r="R266" i="43" s="1"/>
  <c r="H62" i="43"/>
  <c r="H74" i="43" s="1"/>
  <c r="AA34" i="43"/>
  <c r="F59" i="43"/>
  <c r="F71" i="43" s="1"/>
  <c r="G60" i="43"/>
  <c r="G72" i="43" s="1"/>
  <c r="H61" i="43"/>
  <c r="H73" i="43" s="1"/>
  <c r="C78" i="43"/>
  <c r="E129" i="43"/>
  <c r="F258" i="43"/>
  <c r="G258" i="43" s="1"/>
  <c r="H258" i="43" s="1"/>
  <c r="N289" i="43" s="1"/>
  <c r="F261" i="43"/>
  <c r="G261" i="43" s="1"/>
  <c r="H261" i="43" s="1"/>
  <c r="N292" i="43" s="1"/>
  <c r="F264" i="43"/>
  <c r="G264" i="43" s="1"/>
  <c r="H264" i="43" s="1"/>
  <c r="N295" i="43" s="1"/>
  <c r="H284" i="43"/>
  <c r="D66" i="43"/>
  <c r="D78" i="43" s="1"/>
  <c r="E67" i="43"/>
  <c r="E79" i="43" s="1"/>
  <c r="F68" i="43"/>
  <c r="F80" i="43" s="1"/>
  <c r="C75" i="43"/>
  <c r="L186" i="43"/>
  <c r="I207" i="43"/>
  <c r="M207" i="43" s="1"/>
  <c r="E66" i="43"/>
  <c r="E78" i="43" s="1"/>
  <c r="F67" i="43"/>
  <c r="F79" i="43" s="1"/>
  <c r="D145" i="43"/>
  <c r="S187" i="43"/>
  <c r="S188" i="43"/>
  <c r="S189" i="43"/>
  <c r="I212" i="43"/>
  <c r="M212" i="43" s="1"/>
  <c r="N233" i="43"/>
  <c r="O233" i="43" s="1"/>
  <c r="N258" i="43"/>
  <c r="O258" i="43" s="1"/>
  <c r="R258" i="43" s="1"/>
  <c r="F260" i="43"/>
  <c r="G260" i="43" s="1"/>
  <c r="H260" i="43" s="1"/>
  <c r="N291" i="43" s="1"/>
  <c r="N261" i="43"/>
  <c r="O261" i="43" s="1"/>
  <c r="R261" i="43" s="1"/>
  <c r="F263" i="43"/>
  <c r="G263" i="43" s="1"/>
  <c r="H263" i="43" s="1"/>
  <c r="N294" i="43" s="1"/>
  <c r="N264" i="43"/>
  <c r="O264" i="43" s="1"/>
  <c r="R264" i="43" s="1"/>
  <c r="F257" i="43"/>
  <c r="G257" i="43" s="1"/>
  <c r="H257" i="43" s="1"/>
  <c r="N288" i="43" s="1"/>
  <c r="D64" i="43"/>
  <c r="D76" i="43" s="1"/>
  <c r="E65" i="43"/>
  <c r="E77" i="43" s="1"/>
  <c r="F66" i="43"/>
  <c r="F78" i="43" s="1"/>
  <c r="G67" i="43"/>
  <c r="G79" i="43" s="1"/>
  <c r="S186" i="43"/>
  <c r="I205" i="43"/>
  <c r="M205" i="43" s="1"/>
  <c r="H67" i="43"/>
  <c r="H79" i="43" s="1"/>
  <c r="C72" i="43"/>
  <c r="E126" i="43"/>
  <c r="S185" i="43"/>
  <c r="N232" i="43"/>
  <c r="O232" i="43" s="1"/>
  <c r="G66" i="43"/>
  <c r="G78" i="43" s="1"/>
  <c r="D62" i="43"/>
  <c r="D74" i="43" s="1"/>
  <c r="H66" i="43"/>
  <c r="H78" i="43" s="1"/>
  <c r="C79" i="43"/>
  <c r="F126" i="43"/>
  <c r="S225" i="43"/>
  <c r="N257" i="43"/>
  <c r="O257" i="43" s="1"/>
  <c r="R257" i="43" s="1"/>
  <c r="E127" i="43"/>
  <c r="N231" i="43"/>
  <c r="O231" i="43" s="1"/>
  <c r="F259" i="43"/>
  <c r="G259" i="43" s="1"/>
  <c r="H259" i="43" s="1"/>
  <c r="N290" i="43" s="1"/>
  <c r="N260" i="43"/>
  <c r="O260" i="43" s="1"/>
  <c r="R260" i="43" s="1"/>
  <c r="N263" i="43"/>
  <c r="O263" i="43" s="1"/>
  <c r="R263" i="43" s="1"/>
  <c r="E62" i="43"/>
  <c r="E74" i="43" s="1"/>
  <c r="C74" i="43"/>
  <c r="D60" i="43"/>
  <c r="D72" i="43" s="1"/>
  <c r="F62" i="43"/>
  <c r="F74" i="43" s="1"/>
  <c r="J165" i="43"/>
  <c r="N230" i="43"/>
  <c r="O230" i="43" s="1"/>
  <c r="R259" i="42"/>
  <c r="R265" i="42"/>
  <c r="N230" i="42"/>
  <c r="O230" i="42" s="1"/>
  <c r="N236" i="42"/>
  <c r="O236" i="42" s="1"/>
  <c r="N233" i="42"/>
  <c r="O233" i="42" s="1"/>
  <c r="R266" i="42"/>
  <c r="N227" i="42"/>
  <c r="O227" i="42" s="1"/>
  <c r="F59" i="42"/>
  <c r="F71" i="42" s="1"/>
  <c r="H61" i="42"/>
  <c r="H73" i="42" s="1"/>
  <c r="E129" i="42"/>
  <c r="E135" i="42" s="1"/>
  <c r="I135" i="42" s="1"/>
  <c r="J157" i="42"/>
  <c r="F258" i="42"/>
  <c r="G258" i="42" s="1"/>
  <c r="H258" i="42" s="1"/>
  <c r="N289" i="42" s="1"/>
  <c r="F261" i="42"/>
  <c r="G261" i="42" s="1"/>
  <c r="H261" i="42" s="1"/>
  <c r="N292" i="42" s="1"/>
  <c r="F264" i="42"/>
  <c r="G264" i="42" s="1"/>
  <c r="H264" i="42" s="1"/>
  <c r="N295" i="42" s="1"/>
  <c r="H284" i="42"/>
  <c r="H293" i="42"/>
  <c r="E59" i="42"/>
  <c r="E71" i="42" s="1"/>
  <c r="C71" i="42"/>
  <c r="G59" i="42"/>
  <c r="G71" i="42" s="1"/>
  <c r="D68" i="42"/>
  <c r="D80" i="42" s="1"/>
  <c r="C73" i="42"/>
  <c r="S193" i="42"/>
  <c r="I209" i="42"/>
  <c r="M209" i="42" s="1"/>
  <c r="H294" i="42"/>
  <c r="G60" i="42"/>
  <c r="G72" i="42" s="1"/>
  <c r="H60" i="42"/>
  <c r="H72" i="42" s="1"/>
  <c r="D67" i="42"/>
  <c r="D79" i="42" s="1"/>
  <c r="E68" i="42"/>
  <c r="E80" i="42" s="1"/>
  <c r="C80" i="42"/>
  <c r="J158" i="42"/>
  <c r="S192" i="42"/>
  <c r="I214" i="42"/>
  <c r="M214" i="42" s="1"/>
  <c r="N228" i="42"/>
  <c r="O228" i="42" s="1"/>
  <c r="N234" i="42"/>
  <c r="O234" i="42" s="1"/>
  <c r="D66" i="42"/>
  <c r="D78" i="42" s="1"/>
  <c r="E67" i="42"/>
  <c r="E79" i="42" s="1"/>
  <c r="F68" i="42"/>
  <c r="F80" i="42" s="1"/>
  <c r="C75" i="42"/>
  <c r="J159" i="42"/>
  <c r="L186" i="42"/>
  <c r="S190" i="42"/>
  <c r="I207" i="42"/>
  <c r="M207" i="42" s="1"/>
  <c r="H296" i="42"/>
  <c r="H291" i="42"/>
  <c r="I212" i="42"/>
  <c r="M212" i="42" s="1"/>
  <c r="N258" i="42"/>
  <c r="O258" i="42" s="1"/>
  <c r="R258" i="42" s="1"/>
  <c r="F260" i="42"/>
  <c r="G260" i="42" s="1"/>
  <c r="H260" i="42" s="1"/>
  <c r="N291" i="42" s="1"/>
  <c r="N261" i="42"/>
  <c r="O261" i="42" s="1"/>
  <c r="R261" i="42" s="1"/>
  <c r="N264" i="42"/>
  <c r="O264" i="42" s="1"/>
  <c r="R264" i="42" s="1"/>
  <c r="S187" i="42"/>
  <c r="S188" i="42"/>
  <c r="S189" i="42"/>
  <c r="D64" i="42"/>
  <c r="D76" i="42" s="1"/>
  <c r="E145" i="42"/>
  <c r="S186" i="42"/>
  <c r="I205" i="42"/>
  <c r="M205" i="42" s="1"/>
  <c r="E64" i="42"/>
  <c r="E76" i="42" s="1"/>
  <c r="I210" i="42"/>
  <c r="M210" i="42" s="1"/>
  <c r="N232" i="42"/>
  <c r="O232" i="42" s="1"/>
  <c r="F126" i="42"/>
  <c r="J162" i="42"/>
  <c r="N257" i="42"/>
  <c r="O257" i="42" s="1"/>
  <c r="R257" i="42" s="1"/>
  <c r="F64" i="42"/>
  <c r="F76" i="42" s="1"/>
  <c r="G64" i="42"/>
  <c r="G76" i="42" s="1"/>
  <c r="I208" i="42"/>
  <c r="M208" i="42" s="1"/>
  <c r="F259" i="42"/>
  <c r="G259" i="42" s="1"/>
  <c r="H259" i="42" s="1"/>
  <c r="N290" i="42" s="1"/>
  <c r="N260" i="42"/>
  <c r="O260" i="42" s="1"/>
  <c r="R260" i="42" s="1"/>
  <c r="N263" i="42"/>
  <c r="O263" i="42" s="1"/>
  <c r="R263" i="42" s="1"/>
  <c r="G66" i="41"/>
  <c r="G78" i="41" s="1"/>
  <c r="H66" i="41"/>
  <c r="H78" i="41" s="1"/>
  <c r="F129" i="41"/>
  <c r="H67" i="41"/>
  <c r="H79" i="41" s="1"/>
  <c r="C79" i="41"/>
  <c r="F65" i="41"/>
  <c r="F77" i="41" s="1"/>
  <c r="F67" i="41"/>
  <c r="F79" i="41" s="1"/>
  <c r="D65" i="41"/>
  <c r="D77" i="41" s="1"/>
  <c r="G65" i="41"/>
  <c r="G77" i="41" s="1"/>
  <c r="G67" i="41"/>
  <c r="G79" i="41" s="1"/>
  <c r="H65" i="41"/>
  <c r="H77" i="41" s="1"/>
  <c r="E63" i="41"/>
  <c r="E75" i="41" s="1"/>
  <c r="F127" i="41"/>
  <c r="C78" i="41"/>
  <c r="H257" i="41"/>
  <c r="N288" i="41" s="1"/>
  <c r="C75" i="41"/>
  <c r="F128" i="41"/>
  <c r="E129" i="41"/>
  <c r="E65" i="41"/>
  <c r="E77" i="41" s="1"/>
  <c r="E67" i="41"/>
  <c r="E79" i="41" s="1"/>
  <c r="AA32" i="41"/>
  <c r="F265" i="41"/>
  <c r="G265" i="41" s="1"/>
  <c r="H265" i="41" s="1"/>
  <c r="N296" i="41" s="1"/>
  <c r="D61" i="41"/>
  <c r="D73" i="41" s="1"/>
  <c r="E145" i="41"/>
  <c r="E61" i="41"/>
  <c r="E73" i="41" s="1"/>
  <c r="G61" i="41"/>
  <c r="G73" i="41" s="1"/>
  <c r="C77" i="41"/>
  <c r="E62" i="41"/>
  <c r="E74" i="41" s="1"/>
  <c r="F66" i="41"/>
  <c r="F78" i="41" s="1"/>
  <c r="J164" i="41"/>
  <c r="I212" i="41"/>
  <c r="M212" i="41" s="1"/>
  <c r="H61" i="41"/>
  <c r="H73" i="41" s="1"/>
  <c r="F62" i="41"/>
  <c r="F74" i="41" s="1"/>
  <c r="G62" i="41"/>
  <c r="G74" i="41" s="1"/>
  <c r="H62" i="41"/>
  <c r="H74" i="41" s="1"/>
  <c r="N231" i="41"/>
  <c r="O231" i="41" s="1"/>
  <c r="C80" i="41"/>
  <c r="F60" i="41"/>
  <c r="F72" i="41" s="1"/>
  <c r="C74" i="41"/>
  <c r="I206" i="41"/>
  <c r="M206" i="41" s="1"/>
  <c r="F61" i="41"/>
  <c r="F73" i="41" s="1"/>
  <c r="E60" i="41"/>
  <c r="E72" i="41" s="1"/>
  <c r="I205" i="41"/>
  <c r="M205" i="41" s="1"/>
  <c r="G60" i="41"/>
  <c r="G72" i="41" s="1"/>
  <c r="D66" i="41"/>
  <c r="D78" i="41" s="1"/>
  <c r="C73" i="41"/>
  <c r="D60" i="41"/>
  <c r="D72" i="41" s="1"/>
  <c r="H60" i="41"/>
  <c r="H72" i="41" s="1"/>
  <c r="D62" i="41"/>
  <c r="D74" i="41" s="1"/>
  <c r="H64" i="41"/>
  <c r="H76" i="41" s="1"/>
  <c r="F261" i="41"/>
  <c r="G261" i="41" s="1"/>
  <c r="H261" i="41" s="1"/>
  <c r="N292" i="41" s="1"/>
  <c r="D63" i="41"/>
  <c r="D75" i="41" s="1"/>
  <c r="F63" i="41"/>
  <c r="F75" i="41" s="1"/>
  <c r="G63" i="41"/>
  <c r="G75" i="41" s="1"/>
  <c r="H63" i="41"/>
  <c r="H75" i="41" s="1"/>
  <c r="E59" i="41"/>
  <c r="E71" i="41" s="1"/>
  <c r="G59" i="41"/>
  <c r="G71" i="41" s="1"/>
  <c r="J157" i="41"/>
  <c r="H59" i="41"/>
  <c r="H71" i="41" s="1"/>
  <c r="D59" i="41"/>
  <c r="D71" i="41" s="1"/>
  <c r="C71" i="41"/>
  <c r="C72" i="41"/>
  <c r="N266" i="41"/>
  <c r="O266" i="41" s="1"/>
  <c r="R266" i="41" s="1"/>
  <c r="N260" i="41"/>
  <c r="O260" i="41" s="1"/>
  <c r="R260" i="41" s="1"/>
  <c r="N259" i="41"/>
  <c r="O259" i="41" s="1"/>
  <c r="R259" i="41" s="1"/>
  <c r="N261" i="41"/>
  <c r="O261" i="41" s="1"/>
  <c r="R261" i="41" s="1"/>
  <c r="N262" i="41"/>
  <c r="O262" i="41" s="1"/>
  <c r="R262" i="41" s="1"/>
  <c r="N232" i="41"/>
  <c r="O232" i="41" s="1"/>
  <c r="N263" i="41"/>
  <c r="O263" i="41" s="1"/>
  <c r="R263" i="41" s="1"/>
  <c r="N233" i="41"/>
  <c r="O233" i="41" s="1"/>
  <c r="N257" i="41"/>
  <c r="O257" i="41" s="1"/>
  <c r="R257" i="41" s="1"/>
  <c r="I207" i="41"/>
  <c r="M207" i="41" s="1"/>
  <c r="N234" i="41"/>
  <c r="O234" i="41" s="1"/>
  <c r="N264" i="41"/>
  <c r="O264" i="41" s="1"/>
  <c r="R264" i="41" s="1"/>
  <c r="I209" i="41"/>
  <c r="M209" i="41" s="1"/>
  <c r="N235" i="41"/>
  <c r="O235" i="41" s="1"/>
  <c r="I210" i="41"/>
  <c r="M210" i="41" s="1"/>
  <c r="N236" i="41"/>
  <c r="O236" i="41" s="1"/>
  <c r="I211" i="41"/>
  <c r="M211" i="41" s="1"/>
  <c r="N258" i="41"/>
  <c r="O258" i="41" s="1"/>
  <c r="R258" i="41" s="1"/>
  <c r="N265" i="41"/>
  <c r="O265" i="41" s="1"/>
  <c r="R265" i="41" s="1"/>
  <c r="D64" i="41"/>
  <c r="D76" i="41" s="1"/>
  <c r="E64" i="41"/>
  <c r="E76" i="41" s="1"/>
  <c r="F64" i="41"/>
  <c r="F76" i="41" s="1"/>
  <c r="G64" i="41"/>
  <c r="G76" i="41" s="1"/>
  <c r="C76" i="41"/>
  <c r="S192" i="41"/>
  <c r="S189" i="41"/>
  <c r="S188" i="41"/>
  <c r="F259" i="41"/>
  <c r="G259" i="41" s="1"/>
  <c r="H259" i="41" s="1"/>
  <c r="N290" i="41" s="1"/>
  <c r="H289" i="41"/>
  <c r="S185" i="41"/>
  <c r="H288" i="41"/>
  <c r="AA34" i="41"/>
  <c r="D145" i="41"/>
  <c r="L187" i="41"/>
  <c r="J289" i="41"/>
  <c r="N227" i="41"/>
  <c r="O227" i="41" s="1"/>
  <c r="N228" i="41"/>
  <c r="O228" i="41" s="1"/>
  <c r="N229" i="41"/>
  <c r="O229" i="41" s="1"/>
  <c r="N230" i="41"/>
  <c r="O230" i="41" s="1"/>
  <c r="H294" i="41"/>
  <c r="F263" i="41"/>
  <c r="G263" i="41" s="1"/>
  <c r="H263" i="41" s="1"/>
  <c r="N294" i="41" s="1"/>
  <c r="H293" i="41"/>
  <c r="J288" i="41"/>
  <c r="E126" i="41"/>
  <c r="H182" i="41"/>
  <c r="S187" i="41"/>
  <c r="F258" i="41"/>
  <c r="G258" i="41" s="1"/>
  <c r="H258" i="41" s="1"/>
  <c r="N289" i="41" s="1"/>
  <c r="F260" i="41"/>
  <c r="G260" i="41" s="1"/>
  <c r="H260" i="41" s="1"/>
  <c r="N291" i="41" s="1"/>
  <c r="F262" i="41"/>
  <c r="G262" i="41" s="1"/>
  <c r="H262" i="41" s="1"/>
  <c r="N293" i="41" s="1"/>
  <c r="F264" i="41"/>
  <c r="G264" i="41" s="1"/>
  <c r="H264" i="41" s="1"/>
  <c r="N295" i="41" s="1"/>
  <c r="F266" i="41"/>
  <c r="G266" i="41" s="1"/>
  <c r="H266" i="41" s="1"/>
  <c r="N297" i="41" s="1"/>
  <c r="H297" i="41"/>
  <c r="E127" i="41"/>
  <c r="I214" i="41"/>
  <c r="M214" i="41" s="1"/>
  <c r="H296" i="41"/>
  <c r="E128" i="41"/>
  <c r="I208" i="41"/>
  <c r="M208" i="41" s="1"/>
  <c r="H284" i="41"/>
  <c r="S70" i="39"/>
  <c r="S69" i="39"/>
  <c r="S68" i="39"/>
  <c r="S67" i="39"/>
  <c r="S66" i="39"/>
  <c r="S65" i="39"/>
  <c r="S64" i="39"/>
  <c r="S63" i="39"/>
  <c r="S62" i="39"/>
  <c r="S61" i="39"/>
  <c r="M66" i="39"/>
  <c r="M67" i="39"/>
  <c r="M68" i="39"/>
  <c r="M69" i="39"/>
  <c r="M70" i="39"/>
  <c r="M62" i="39"/>
  <c r="M63" i="39"/>
  <c r="M64" i="39"/>
  <c r="M65" i="39"/>
  <c r="M61" i="39"/>
  <c r="J166" i="38"/>
  <c r="J155" i="38"/>
  <c r="J155" i="28"/>
  <c r="J155" i="33"/>
  <c r="J166" i="33"/>
  <c r="J158" i="28"/>
  <c r="H68" i="28"/>
  <c r="G68" i="28"/>
  <c r="F68" i="28"/>
  <c r="E68" i="28"/>
  <c r="J166" i="28" s="1"/>
  <c r="D68" i="28"/>
  <c r="H67" i="28"/>
  <c r="G67" i="28"/>
  <c r="F67" i="28"/>
  <c r="E67" i="28"/>
  <c r="J165" i="28" s="1"/>
  <c r="D67" i="28"/>
  <c r="H66" i="28"/>
  <c r="G66" i="28"/>
  <c r="F66" i="28"/>
  <c r="E66" i="28"/>
  <c r="J164" i="28" s="1"/>
  <c r="D66" i="28"/>
  <c r="H65" i="28"/>
  <c r="G65" i="28"/>
  <c r="F65" i="28"/>
  <c r="E65" i="28"/>
  <c r="J163" i="28" s="1"/>
  <c r="D65" i="28"/>
  <c r="H64" i="28"/>
  <c r="G64" i="28"/>
  <c r="F64" i="28"/>
  <c r="E64" i="28"/>
  <c r="J162" i="28" s="1"/>
  <c r="D64" i="28"/>
  <c r="H63" i="28"/>
  <c r="G63" i="28"/>
  <c r="F63" i="28"/>
  <c r="E63" i="28"/>
  <c r="J161" i="28" s="1"/>
  <c r="D63" i="28"/>
  <c r="H62" i="28"/>
  <c r="G62" i="28"/>
  <c r="F62" i="28"/>
  <c r="E62" i="28"/>
  <c r="J160" i="28" s="1"/>
  <c r="D62" i="28"/>
  <c r="H61" i="28"/>
  <c r="G61" i="28"/>
  <c r="F61" i="28"/>
  <c r="E61" i="28"/>
  <c r="J159" i="28" s="1"/>
  <c r="D61" i="28"/>
  <c r="H60" i="28"/>
  <c r="G60" i="28"/>
  <c r="F60" i="28"/>
  <c r="E60" i="28"/>
  <c r="D60" i="28"/>
  <c r="H59" i="28"/>
  <c r="G59" i="28"/>
  <c r="F59" i="28"/>
  <c r="E59" i="28"/>
  <c r="J157" i="28" s="1"/>
  <c r="D59" i="28"/>
  <c r="H68" i="33"/>
  <c r="G68" i="33"/>
  <c r="F68" i="33"/>
  <c r="E68" i="33"/>
  <c r="D68" i="33"/>
  <c r="H67" i="33"/>
  <c r="G67" i="33"/>
  <c r="F67" i="33"/>
  <c r="E67" i="33"/>
  <c r="J165" i="33" s="1"/>
  <c r="D67" i="33"/>
  <c r="H66" i="33"/>
  <c r="G66" i="33"/>
  <c r="F66" i="33"/>
  <c r="E66" i="33"/>
  <c r="J164" i="33" s="1"/>
  <c r="D66" i="33"/>
  <c r="H65" i="33"/>
  <c r="G65" i="33"/>
  <c r="F65" i="33"/>
  <c r="E65" i="33"/>
  <c r="J163" i="33" s="1"/>
  <c r="D65" i="33"/>
  <c r="H64" i="33"/>
  <c r="G64" i="33"/>
  <c r="F64" i="33"/>
  <c r="E64" i="33"/>
  <c r="J162" i="33" s="1"/>
  <c r="D64" i="33"/>
  <c r="H63" i="33"/>
  <c r="G63" i="33"/>
  <c r="F63" i="33"/>
  <c r="E63" i="33"/>
  <c r="J161" i="33" s="1"/>
  <c r="D63" i="33"/>
  <c r="H62" i="33"/>
  <c r="G62" i="33"/>
  <c r="F62" i="33"/>
  <c r="E62" i="33"/>
  <c r="J160" i="33" s="1"/>
  <c r="D62" i="33"/>
  <c r="H61" i="33"/>
  <c r="G61" i="33"/>
  <c r="F61" i="33"/>
  <c r="E61" i="33"/>
  <c r="J159" i="33" s="1"/>
  <c r="D61" i="33"/>
  <c r="H60" i="33"/>
  <c r="G60" i="33"/>
  <c r="F60" i="33"/>
  <c r="E60" i="33"/>
  <c r="J158" i="33" s="1"/>
  <c r="D60" i="33"/>
  <c r="H59" i="33"/>
  <c r="G59" i="33"/>
  <c r="F59" i="33"/>
  <c r="E59" i="33"/>
  <c r="J157" i="33" s="1"/>
  <c r="D59" i="33"/>
  <c r="H68" i="38"/>
  <c r="G68" i="38"/>
  <c r="F68" i="38"/>
  <c r="E68" i="38"/>
  <c r="D68" i="38"/>
  <c r="H67" i="38"/>
  <c r="G67" i="38"/>
  <c r="F67" i="38"/>
  <c r="E67" i="38"/>
  <c r="J165" i="38" s="1"/>
  <c r="D67" i="38"/>
  <c r="H66" i="38"/>
  <c r="G66" i="38"/>
  <c r="F66" i="38"/>
  <c r="E66" i="38"/>
  <c r="J164" i="38" s="1"/>
  <c r="D66" i="38"/>
  <c r="H65" i="38"/>
  <c r="G65" i="38"/>
  <c r="F65" i="38"/>
  <c r="E65" i="38"/>
  <c r="J163" i="38" s="1"/>
  <c r="D65" i="38"/>
  <c r="H64" i="38"/>
  <c r="G64" i="38"/>
  <c r="F64" i="38"/>
  <c r="E64" i="38"/>
  <c r="J162" i="38" s="1"/>
  <c r="D64" i="38"/>
  <c r="H63" i="38"/>
  <c r="G63" i="38"/>
  <c r="F63" i="38"/>
  <c r="E63" i="38"/>
  <c r="J161" i="38" s="1"/>
  <c r="D63" i="38"/>
  <c r="H62" i="38"/>
  <c r="G62" i="38"/>
  <c r="F62" i="38"/>
  <c r="E62" i="38"/>
  <c r="J160" i="38" s="1"/>
  <c r="D62" i="38"/>
  <c r="H61" i="38"/>
  <c r="G61" i="38"/>
  <c r="F61" i="38"/>
  <c r="E61" i="38"/>
  <c r="J159" i="38" s="1"/>
  <c r="D61" i="38"/>
  <c r="H60" i="38"/>
  <c r="G60" i="38"/>
  <c r="F60" i="38"/>
  <c r="E60" i="38"/>
  <c r="J158" i="38" s="1"/>
  <c r="D60" i="38"/>
  <c r="H59" i="38"/>
  <c r="G59" i="38"/>
  <c r="F59" i="38"/>
  <c r="E59" i="38"/>
  <c r="J157" i="38" s="1"/>
  <c r="D159" i="52" l="1"/>
  <c r="K136" i="52"/>
  <c r="D157" i="52"/>
  <c r="K134" i="52"/>
  <c r="K137" i="52"/>
  <c r="D160" i="52"/>
  <c r="D165" i="52"/>
  <c r="K142" i="52"/>
  <c r="F158" i="52"/>
  <c r="F186" i="52"/>
  <c r="C158" i="52"/>
  <c r="M158" i="52" s="1"/>
  <c r="P228" i="52" s="1"/>
  <c r="Q228" i="52" s="1"/>
  <c r="R228" i="52" s="1"/>
  <c r="U158" i="52"/>
  <c r="N158" i="52"/>
  <c r="O158" i="52" s="1"/>
  <c r="F164" i="52"/>
  <c r="C164" i="52"/>
  <c r="M164" i="52" s="1"/>
  <c r="P234" i="52" s="1"/>
  <c r="Q234" i="52" s="1"/>
  <c r="R234" i="52" s="1"/>
  <c r="F192" i="52"/>
  <c r="U164" i="52"/>
  <c r="F163" i="52"/>
  <c r="F191" i="52"/>
  <c r="C163" i="52"/>
  <c r="M163" i="52" s="1"/>
  <c r="P233" i="52" s="1"/>
  <c r="Q233" i="52" s="1"/>
  <c r="R233" i="52" s="1"/>
  <c r="U163" i="52"/>
  <c r="K143" i="52"/>
  <c r="D166" i="52"/>
  <c r="U161" i="52"/>
  <c r="F189" i="52"/>
  <c r="F161" i="52"/>
  <c r="C161" i="52"/>
  <c r="M161" i="52" s="1"/>
  <c r="P231" i="52" s="1"/>
  <c r="Q231" i="52" s="1"/>
  <c r="R231" i="52" s="1"/>
  <c r="D162" i="52"/>
  <c r="K139" i="52"/>
  <c r="K136" i="51"/>
  <c r="K134" i="51"/>
  <c r="D160" i="51"/>
  <c r="F160" i="51" s="1"/>
  <c r="N158" i="51"/>
  <c r="O158" i="51" s="1"/>
  <c r="D166" i="51"/>
  <c r="U166" i="51" s="1"/>
  <c r="G289" i="51"/>
  <c r="D186" i="51"/>
  <c r="F228" i="51"/>
  <c r="G228" i="51" s="1"/>
  <c r="H228" i="51" s="1"/>
  <c r="M289" i="51" s="1"/>
  <c r="E186" i="51"/>
  <c r="E289" i="51" s="1"/>
  <c r="H186" i="51"/>
  <c r="F166" i="51"/>
  <c r="F194" i="51"/>
  <c r="F187" i="51"/>
  <c r="F159" i="51"/>
  <c r="C159" i="51"/>
  <c r="M159" i="51" s="1"/>
  <c r="P229" i="51" s="1"/>
  <c r="Q229" i="51" s="1"/>
  <c r="R229" i="51" s="1"/>
  <c r="U159" i="51"/>
  <c r="S242" i="51"/>
  <c r="S228" i="51"/>
  <c r="F157" i="51"/>
  <c r="C157" i="51"/>
  <c r="M157" i="51" s="1"/>
  <c r="P227" i="51" s="1"/>
  <c r="Q227" i="51" s="1"/>
  <c r="R227" i="51" s="1"/>
  <c r="U157" i="51"/>
  <c r="F185" i="51"/>
  <c r="K139" i="51"/>
  <c r="D162" i="51"/>
  <c r="U161" i="51"/>
  <c r="F189" i="51"/>
  <c r="F161" i="51"/>
  <c r="C161" i="51"/>
  <c r="M161" i="51" s="1"/>
  <c r="P231" i="51" s="1"/>
  <c r="Q231" i="51" s="1"/>
  <c r="R231" i="51" s="1"/>
  <c r="P158" i="51"/>
  <c r="Q158" i="51" s="1"/>
  <c r="K158" i="51"/>
  <c r="K141" i="51"/>
  <c r="D164" i="51"/>
  <c r="D165" i="51"/>
  <c r="K142" i="51"/>
  <c r="D163" i="51"/>
  <c r="K140" i="51"/>
  <c r="F188" i="51"/>
  <c r="F187" i="50"/>
  <c r="F159" i="50"/>
  <c r="C159" i="50"/>
  <c r="M159" i="50" s="1"/>
  <c r="P229" i="50" s="1"/>
  <c r="Q229" i="50" s="1"/>
  <c r="R229" i="50" s="1"/>
  <c r="U159" i="50"/>
  <c r="F163" i="50"/>
  <c r="F191" i="50"/>
  <c r="C163" i="50"/>
  <c r="M163" i="50" s="1"/>
  <c r="P233" i="50" s="1"/>
  <c r="Q233" i="50" s="1"/>
  <c r="R233" i="50" s="1"/>
  <c r="U163" i="50"/>
  <c r="D158" i="50"/>
  <c r="K135" i="50"/>
  <c r="D157" i="50"/>
  <c r="K134" i="50"/>
  <c r="K143" i="50"/>
  <c r="D166" i="50"/>
  <c r="K137" i="50"/>
  <c r="D160" i="50"/>
  <c r="K139" i="50"/>
  <c r="D162" i="50"/>
  <c r="F165" i="50"/>
  <c r="C165" i="50"/>
  <c r="M165" i="50" s="1"/>
  <c r="P235" i="50" s="1"/>
  <c r="Q235" i="50" s="1"/>
  <c r="R235" i="50" s="1"/>
  <c r="F193" i="50"/>
  <c r="U165" i="50"/>
  <c r="U161" i="50"/>
  <c r="F189" i="50"/>
  <c r="F161" i="50"/>
  <c r="C161" i="50"/>
  <c r="M161" i="50" s="1"/>
  <c r="P231" i="50" s="1"/>
  <c r="Q231" i="50" s="1"/>
  <c r="R231" i="50" s="1"/>
  <c r="K141" i="50"/>
  <c r="D164" i="50"/>
  <c r="U160" i="49"/>
  <c r="F188" i="49"/>
  <c r="F160" i="49"/>
  <c r="C160" i="49"/>
  <c r="M160" i="49" s="1"/>
  <c r="P230" i="49" s="1"/>
  <c r="Q230" i="49" s="1"/>
  <c r="R230" i="49" s="1"/>
  <c r="F187" i="49"/>
  <c r="F159" i="49"/>
  <c r="C159" i="49"/>
  <c r="M159" i="49" s="1"/>
  <c r="P229" i="49" s="1"/>
  <c r="Q229" i="49" s="1"/>
  <c r="R229" i="49" s="1"/>
  <c r="U159" i="49"/>
  <c r="K143" i="49"/>
  <c r="D166" i="49"/>
  <c r="D163" i="49"/>
  <c r="K140" i="49"/>
  <c r="K141" i="49"/>
  <c r="D164" i="49"/>
  <c r="U161" i="49"/>
  <c r="C161" i="49"/>
  <c r="M161" i="49" s="1"/>
  <c r="P231" i="49" s="1"/>
  <c r="Q231" i="49" s="1"/>
  <c r="R231" i="49" s="1"/>
  <c r="F189" i="49"/>
  <c r="F161" i="49"/>
  <c r="F158" i="49"/>
  <c r="C158" i="49"/>
  <c r="M158" i="49" s="1"/>
  <c r="P228" i="49" s="1"/>
  <c r="Q228" i="49" s="1"/>
  <c r="R228" i="49" s="1"/>
  <c r="U158" i="49"/>
  <c r="F186" i="49"/>
  <c r="N158" i="49"/>
  <c r="O158" i="49" s="1"/>
  <c r="D162" i="49"/>
  <c r="K139" i="49"/>
  <c r="D157" i="49"/>
  <c r="K134" i="49"/>
  <c r="F165" i="49"/>
  <c r="C165" i="49"/>
  <c r="M165" i="49" s="1"/>
  <c r="P235" i="49" s="1"/>
  <c r="Q235" i="49" s="1"/>
  <c r="R235" i="49" s="1"/>
  <c r="F193" i="49"/>
  <c r="U165" i="49"/>
  <c r="N158" i="48"/>
  <c r="O158" i="48" s="1"/>
  <c r="K164" i="48"/>
  <c r="P164" i="48"/>
  <c r="Q164" i="48" s="1"/>
  <c r="F165" i="48"/>
  <c r="C165" i="48"/>
  <c r="M165" i="48" s="1"/>
  <c r="P235" i="48" s="1"/>
  <c r="Q235" i="48" s="1"/>
  <c r="R235" i="48" s="1"/>
  <c r="F193" i="48"/>
  <c r="U165" i="48"/>
  <c r="F163" i="48"/>
  <c r="F191" i="48"/>
  <c r="C163" i="48"/>
  <c r="M163" i="48" s="1"/>
  <c r="P233" i="48" s="1"/>
  <c r="Q233" i="48" s="1"/>
  <c r="R233" i="48" s="1"/>
  <c r="U163" i="48"/>
  <c r="N163" i="48"/>
  <c r="O163" i="48" s="1"/>
  <c r="G295" i="48"/>
  <c r="H192" i="48"/>
  <c r="F234" i="48"/>
  <c r="G234" i="48" s="1"/>
  <c r="H234" i="48" s="1"/>
  <c r="M295" i="48" s="1"/>
  <c r="E192" i="48"/>
  <c r="E295" i="48" s="1"/>
  <c r="D192" i="48"/>
  <c r="F157" i="48"/>
  <c r="C157" i="48"/>
  <c r="P227" i="48" s="1"/>
  <c r="Q227" i="48" s="1"/>
  <c r="R227" i="48" s="1"/>
  <c r="U157" i="48"/>
  <c r="F185" i="48"/>
  <c r="O157" i="48"/>
  <c r="S234" i="48"/>
  <c r="S248" i="48"/>
  <c r="F187" i="48"/>
  <c r="F159" i="48"/>
  <c r="C159" i="48"/>
  <c r="M159" i="48" s="1"/>
  <c r="P229" i="48" s="1"/>
  <c r="Q229" i="48" s="1"/>
  <c r="R229" i="48" s="1"/>
  <c r="U159" i="48"/>
  <c r="S242" i="48"/>
  <c r="S228" i="48"/>
  <c r="G289" i="48"/>
  <c r="D186" i="48"/>
  <c r="F228" i="48"/>
  <c r="G228" i="48" s="1"/>
  <c r="H228" i="48" s="1"/>
  <c r="M289" i="48" s="1"/>
  <c r="E186" i="48"/>
  <c r="E289" i="48" s="1"/>
  <c r="H186" i="48"/>
  <c r="F166" i="48"/>
  <c r="C166" i="48"/>
  <c r="M166" i="48" s="1"/>
  <c r="P236" i="48" s="1"/>
  <c r="Q236" i="48" s="1"/>
  <c r="R236" i="48" s="1"/>
  <c r="F194" i="48"/>
  <c r="U166" i="48"/>
  <c r="P158" i="48"/>
  <c r="Q158" i="48" s="1"/>
  <c r="K158" i="48"/>
  <c r="U161" i="48"/>
  <c r="F189" i="48"/>
  <c r="F161" i="48"/>
  <c r="C161" i="48"/>
  <c r="M161" i="48" s="1"/>
  <c r="P231" i="48" s="1"/>
  <c r="Q231" i="48" s="1"/>
  <c r="R231" i="48" s="1"/>
  <c r="F188" i="48"/>
  <c r="F160" i="48"/>
  <c r="C160" i="48"/>
  <c r="M160" i="48" s="1"/>
  <c r="P230" i="48" s="1"/>
  <c r="Q230" i="48" s="1"/>
  <c r="R230" i="48" s="1"/>
  <c r="U160" i="48"/>
  <c r="U162" i="48"/>
  <c r="C162" i="48"/>
  <c r="M162" i="48" s="1"/>
  <c r="P232" i="48" s="1"/>
  <c r="Q232" i="48" s="1"/>
  <c r="R232" i="48" s="1"/>
  <c r="N162" i="48"/>
  <c r="O162" i="48" s="1"/>
  <c r="F162" i="48"/>
  <c r="F190" i="48"/>
  <c r="E134" i="47"/>
  <c r="I134" i="47" s="1"/>
  <c r="D157" i="47" s="1"/>
  <c r="F142" i="47"/>
  <c r="I142" i="47" s="1"/>
  <c r="F141" i="47"/>
  <c r="I141" i="47" s="1"/>
  <c r="K141" i="47" s="1"/>
  <c r="F140" i="47"/>
  <c r="I140" i="47" s="1"/>
  <c r="F139" i="47"/>
  <c r="I139" i="47" s="1"/>
  <c r="E138" i="47"/>
  <c r="I138" i="47" s="1"/>
  <c r="D161" i="47" s="1"/>
  <c r="E137" i="47"/>
  <c r="I137" i="47" s="1"/>
  <c r="K143" i="47"/>
  <c r="D166" i="47"/>
  <c r="E135" i="47"/>
  <c r="I135" i="47" s="1"/>
  <c r="D162" i="47"/>
  <c r="K139" i="47"/>
  <c r="E136" i="47"/>
  <c r="I136" i="47" s="1"/>
  <c r="D165" i="47"/>
  <c r="K142" i="47"/>
  <c r="D163" i="47"/>
  <c r="K140" i="47"/>
  <c r="E138" i="46"/>
  <c r="I138" i="46" s="1"/>
  <c r="D161" i="46" s="1"/>
  <c r="E135" i="46"/>
  <c r="I135" i="46" s="1"/>
  <c r="K135" i="46" s="1"/>
  <c r="I137" i="46"/>
  <c r="D160" i="46" s="1"/>
  <c r="E136" i="46"/>
  <c r="I136" i="46" s="1"/>
  <c r="K136" i="46" s="1"/>
  <c r="E134" i="46"/>
  <c r="I134" i="46" s="1"/>
  <c r="J290" i="46"/>
  <c r="F140" i="46"/>
  <c r="I140" i="46" s="1"/>
  <c r="F143" i="46"/>
  <c r="I143" i="46" s="1"/>
  <c r="I139" i="46"/>
  <c r="F142" i="46"/>
  <c r="I142" i="46" s="1"/>
  <c r="F141" i="46"/>
  <c r="I141" i="46" s="1"/>
  <c r="F139" i="45"/>
  <c r="I139" i="45" s="1"/>
  <c r="F142" i="45"/>
  <c r="I142" i="45" s="1"/>
  <c r="F140" i="45"/>
  <c r="I140" i="45" s="1"/>
  <c r="F141" i="45"/>
  <c r="I141" i="45" s="1"/>
  <c r="D164" i="45" s="1"/>
  <c r="F143" i="45"/>
  <c r="I143" i="45" s="1"/>
  <c r="D166" i="45" s="1"/>
  <c r="K140" i="45"/>
  <c r="D163" i="45"/>
  <c r="E134" i="45"/>
  <c r="I134" i="45" s="1"/>
  <c r="E137" i="45"/>
  <c r="I137" i="45" s="1"/>
  <c r="E136" i="45"/>
  <c r="I136" i="45" s="1"/>
  <c r="E135" i="45"/>
  <c r="I135" i="45" s="1"/>
  <c r="E138" i="45"/>
  <c r="I138" i="45" s="1"/>
  <c r="J290" i="45"/>
  <c r="L188" i="45"/>
  <c r="K139" i="45"/>
  <c r="D162" i="45"/>
  <c r="D165" i="45"/>
  <c r="K142" i="45"/>
  <c r="E136" i="42"/>
  <c r="I136" i="42" s="1"/>
  <c r="E134" i="42"/>
  <c r="I134" i="42" s="1"/>
  <c r="E138" i="43"/>
  <c r="I138" i="43" s="1"/>
  <c r="E136" i="43"/>
  <c r="I136" i="43" s="1"/>
  <c r="E135" i="43"/>
  <c r="I135" i="43" s="1"/>
  <c r="E137" i="43"/>
  <c r="I137" i="43" s="1"/>
  <c r="E134" i="43"/>
  <c r="I134" i="43" s="1"/>
  <c r="J289" i="43"/>
  <c r="L187" i="43"/>
  <c r="F140" i="43"/>
  <c r="I140" i="43" s="1"/>
  <c r="F142" i="43"/>
  <c r="I142" i="43" s="1"/>
  <c r="F139" i="43"/>
  <c r="I139" i="43" s="1"/>
  <c r="F141" i="43"/>
  <c r="I141" i="43" s="1"/>
  <c r="F143" i="43"/>
  <c r="I143" i="43" s="1"/>
  <c r="D158" i="42"/>
  <c r="K135" i="42"/>
  <c r="K136" i="42"/>
  <c r="D159" i="42"/>
  <c r="D157" i="42"/>
  <c r="K134" i="42"/>
  <c r="E137" i="42"/>
  <c r="I137" i="42" s="1"/>
  <c r="J289" i="42"/>
  <c r="L187" i="42"/>
  <c r="K138" i="42"/>
  <c r="D161" i="42"/>
  <c r="F140" i="42"/>
  <c r="I140" i="42" s="1"/>
  <c r="F142" i="42"/>
  <c r="I142" i="42" s="1"/>
  <c r="F139" i="42"/>
  <c r="I139" i="42" s="1"/>
  <c r="F141" i="42"/>
  <c r="I141" i="42" s="1"/>
  <c r="F143" i="42"/>
  <c r="I143" i="42" s="1"/>
  <c r="F142" i="41"/>
  <c r="I142" i="41" s="1"/>
  <c r="D165" i="41" s="1"/>
  <c r="F165" i="41" s="1"/>
  <c r="F140" i="41"/>
  <c r="I140" i="41" s="1"/>
  <c r="D163" i="41" s="1"/>
  <c r="F163" i="41" s="1"/>
  <c r="F143" i="41"/>
  <c r="I143" i="41" s="1"/>
  <c r="F141" i="41"/>
  <c r="I141" i="41" s="1"/>
  <c r="K141" i="41" s="1"/>
  <c r="F139" i="41"/>
  <c r="I139" i="41" s="1"/>
  <c r="D162" i="41" s="1"/>
  <c r="F162" i="41" s="1"/>
  <c r="E136" i="41"/>
  <c r="I136" i="41" s="1"/>
  <c r="E135" i="41"/>
  <c r="I135" i="41" s="1"/>
  <c r="E138" i="41"/>
  <c r="I138" i="41" s="1"/>
  <c r="E134" i="41"/>
  <c r="I134" i="41" s="1"/>
  <c r="E137" i="41"/>
  <c r="I137" i="41" s="1"/>
  <c r="D166" i="41"/>
  <c r="F166" i="41" s="1"/>
  <c r="K166" i="41" s="1"/>
  <c r="K143" i="41"/>
  <c r="J290" i="41"/>
  <c r="L188" i="41"/>
  <c r="C84" i="39"/>
  <c r="J158" i="39" s="1"/>
  <c r="C85" i="39"/>
  <c r="J159" i="39" s="1"/>
  <c r="C86" i="39"/>
  <c r="J160" i="39" s="1"/>
  <c r="C87" i="39"/>
  <c r="J161" i="39" s="1"/>
  <c r="C88" i="39"/>
  <c r="J162" i="39" s="1"/>
  <c r="C89" i="39"/>
  <c r="J163" i="39" s="1"/>
  <c r="C90" i="39"/>
  <c r="J164" i="39" s="1"/>
  <c r="C91" i="39"/>
  <c r="J165" i="39" s="1"/>
  <c r="C92" i="39"/>
  <c r="J166" i="39" s="1"/>
  <c r="C83" i="39"/>
  <c r="J157" i="39" s="1"/>
  <c r="N163" i="52" l="1"/>
  <c r="O163" i="52" s="1"/>
  <c r="G295" i="52"/>
  <c r="H192" i="52"/>
  <c r="F234" i="52"/>
  <c r="G234" i="52" s="1"/>
  <c r="H234" i="52" s="1"/>
  <c r="M295" i="52" s="1"/>
  <c r="E192" i="52"/>
  <c r="E295" i="52" s="1"/>
  <c r="D192" i="52"/>
  <c r="U162" i="52"/>
  <c r="F190" i="52"/>
  <c r="C162" i="52"/>
  <c r="M162" i="52" s="1"/>
  <c r="P232" i="52" s="1"/>
  <c r="Q232" i="52" s="1"/>
  <c r="R232" i="52" s="1"/>
  <c r="F162" i="52"/>
  <c r="S234" i="52"/>
  <c r="S248" i="52"/>
  <c r="S231" i="52"/>
  <c r="S245" i="52"/>
  <c r="K164" i="52"/>
  <c r="P164" i="52"/>
  <c r="Q164" i="52" s="1"/>
  <c r="P161" i="52"/>
  <c r="Q161" i="52" s="1"/>
  <c r="K161" i="52"/>
  <c r="S242" i="52"/>
  <c r="S228" i="52"/>
  <c r="F231" i="52"/>
  <c r="G231" i="52" s="1"/>
  <c r="H231" i="52" s="1"/>
  <c r="M292" i="52" s="1"/>
  <c r="G292" i="52"/>
  <c r="E189" i="52"/>
  <c r="E292" i="52" s="1"/>
  <c r="D189" i="52"/>
  <c r="H189" i="52"/>
  <c r="N161" i="52"/>
  <c r="O161" i="52" s="1"/>
  <c r="G289" i="52"/>
  <c r="D186" i="52"/>
  <c r="F228" i="52"/>
  <c r="G228" i="52" s="1"/>
  <c r="H228" i="52" s="1"/>
  <c r="M289" i="52" s="1"/>
  <c r="H186" i="52"/>
  <c r="E186" i="52"/>
  <c r="E289" i="52" s="1"/>
  <c r="F194" i="52"/>
  <c r="U166" i="52"/>
  <c r="F166" i="52"/>
  <c r="C166" i="52"/>
  <c r="M166" i="52" s="1"/>
  <c r="P236" i="52" s="1"/>
  <c r="Q236" i="52" s="1"/>
  <c r="R236" i="52" s="1"/>
  <c r="P158" i="52"/>
  <c r="Q158" i="52" s="1"/>
  <c r="K158" i="52"/>
  <c r="F165" i="52"/>
  <c r="C165" i="52"/>
  <c r="M165" i="52" s="1"/>
  <c r="P235" i="52" s="1"/>
  <c r="Q235" i="52" s="1"/>
  <c r="R235" i="52" s="1"/>
  <c r="F193" i="52"/>
  <c r="U165" i="52"/>
  <c r="U160" i="52"/>
  <c r="F188" i="52"/>
  <c r="F160" i="52"/>
  <c r="C160" i="52"/>
  <c r="M160" i="52" s="1"/>
  <c r="P230" i="52" s="1"/>
  <c r="Q230" i="52" s="1"/>
  <c r="R230" i="52" s="1"/>
  <c r="H191" i="52"/>
  <c r="E191" i="52"/>
  <c r="E294" i="52" s="1"/>
  <c r="F233" i="52"/>
  <c r="G233" i="52" s="1"/>
  <c r="H233" i="52" s="1"/>
  <c r="M294" i="52" s="1"/>
  <c r="D191" i="52"/>
  <c r="G294" i="52"/>
  <c r="P163" i="52"/>
  <c r="Q163" i="52" s="1"/>
  <c r="K163" i="52"/>
  <c r="F157" i="52"/>
  <c r="C157" i="52"/>
  <c r="M157" i="52" s="1"/>
  <c r="P227" i="52" s="1"/>
  <c r="Q227" i="52" s="1"/>
  <c r="R227" i="52" s="1"/>
  <c r="U157" i="52"/>
  <c r="F185" i="52"/>
  <c r="S233" i="52"/>
  <c r="S247" i="52"/>
  <c r="N164" i="52"/>
  <c r="O164" i="52" s="1"/>
  <c r="F187" i="52"/>
  <c r="F159" i="52"/>
  <c r="C159" i="52"/>
  <c r="M159" i="52" s="1"/>
  <c r="P229" i="52" s="1"/>
  <c r="Q229" i="52" s="1"/>
  <c r="R229" i="52" s="1"/>
  <c r="U159" i="52"/>
  <c r="C166" i="51"/>
  <c r="M166" i="51" s="1"/>
  <c r="P236" i="51" s="1"/>
  <c r="Q236" i="51" s="1"/>
  <c r="R236" i="51" s="1"/>
  <c r="U160" i="51"/>
  <c r="C160" i="51"/>
  <c r="M160" i="51" s="1"/>
  <c r="P230" i="51" s="1"/>
  <c r="Q230" i="51" s="1"/>
  <c r="R230" i="51" s="1"/>
  <c r="N159" i="51"/>
  <c r="O159" i="51" s="1"/>
  <c r="N166" i="51"/>
  <c r="O166" i="51" s="1"/>
  <c r="F164" i="51"/>
  <c r="C164" i="51"/>
  <c r="M164" i="51" s="1"/>
  <c r="P234" i="51" s="1"/>
  <c r="Q234" i="51" s="1"/>
  <c r="R234" i="51" s="1"/>
  <c r="F192" i="51"/>
  <c r="U164" i="51"/>
  <c r="F289" i="51"/>
  <c r="K289" i="51"/>
  <c r="P161" i="51"/>
  <c r="Q161" i="51" s="1"/>
  <c r="K161" i="51"/>
  <c r="P159" i="51"/>
  <c r="Q159" i="51" s="1"/>
  <c r="K159" i="51"/>
  <c r="S243" i="51"/>
  <c r="S229" i="51"/>
  <c r="F231" i="51"/>
  <c r="G231" i="51" s="1"/>
  <c r="H231" i="51" s="1"/>
  <c r="M292" i="51" s="1"/>
  <c r="G292" i="51"/>
  <c r="E189" i="51"/>
  <c r="E292" i="51" s="1"/>
  <c r="D189" i="51"/>
  <c r="H189" i="51"/>
  <c r="H187" i="51"/>
  <c r="G290" i="51"/>
  <c r="E187" i="51"/>
  <c r="E290" i="51" s="1"/>
  <c r="D187" i="51"/>
  <c r="F229" i="51"/>
  <c r="G229" i="51" s="1"/>
  <c r="H229" i="51" s="1"/>
  <c r="M290" i="51" s="1"/>
  <c r="N161" i="51"/>
  <c r="O161" i="51" s="1"/>
  <c r="D194" i="51"/>
  <c r="F236" i="51"/>
  <c r="G236" i="51" s="1"/>
  <c r="H236" i="51" s="1"/>
  <c r="M297" i="51" s="1"/>
  <c r="G297" i="51"/>
  <c r="H194" i="51"/>
  <c r="E194" i="51"/>
  <c r="E297" i="51" s="1"/>
  <c r="S231" i="51"/>
  <c r="S245" i="51"/>
  <c r="S244" i="51"/>
  <c r="S230" i="51"/>
  <c r="S250" i="51"/>
  <c r="S236" i="51"/>
  <c r="P160" i="51"/>
  <c r="Q160" i="51" s="1"/>
  <c r="K160" i="51"/>
  <c r="U162" i="51"/>
  <c r="C162" i="51"/>
  <c r="M162" i="51" s="1"/>
  <c r="P232" i="51" s="1"/>
  <c r="Q232" i="51" s="1"/>
  <c r="R232" i="51" s="1"/>
  <c r="F162" i="51"/>
  <c r="F190" i="51"/>
  <c r="P166" i="51"/>
  <c r="Q166" i="51" s="1"/>
  <c r="K166" i="51"/>
  <c r="N157" i="51"/>
  <c r="O157" i="51" s="1"/>
  <c r="E185" i="51"/>
  <c r="E288" i="51" s="1"/>
  <c r="D185" i="51"/>
  <c r="G288" i="51"/>
  <c r="F227" i="51"/>
  <c r="G227" i="51" s="1"/>
  <c r="H227" i="51" s="1"/>
  <c r="M288" i="51" s="1"/>
  <c r="H185" i="51"/>
  <c r="F163" i="51"/>
  <c r="F191" i="51"/>
  <c r="C163" i="51"/>
  <c r="M163" i="51" s="1"/>
  <c r="P233" i="51" s="1"/>
  <c r="Q233" i="51" s="1"/>
  <c r="R233" i="51" s="1"/>
  <c r="U163" i="51"/>
  <c r="H188" i="51"/>
  <c r="G291" i="51"/>
  <c r="E188" i="51"/>
  <c r="E291" i="51" s="1"/>
  <c r="D188" i="51"/>
  <c r="F230" i="51"/>
  <c r="G230" i="51" s="1"/>
  <c r="H230" i="51" s="1"/>
  <c r="M291" i="51" s="1"/>
  <c r="S227" i="51"/>
  <c r="S241" i="51"/>
  <c r="F165" i="51"/>
  <c r="C165" i="51"/>
  <c r="M165" i="51" s="1"/>
  <c r="P235" i="51" s="1"/>
  <c r="Q235" i="51" s="1"/>
  <c r="R235" i="51" s="1"/>
  <c r="F193" i="51"/>
  <c r="U165" i="51"/>
  <c r="K157" i="51"/>
  <c r="P157" i="51"/>
  <c r="Q157" i="51" s="1"/>
  <c r="C186" i="51"/>
  <c r="D289" i="51"/>
  <c r="R186" i="51"/>
  <c r="N163" i="50"/>
  <c r="O163" i="50" s="1"/>
  <c r="F164" i="50"/>
  <c r="C164" i="50"/>
  <c r="M164" i="50" s="1"/>
  <c r="P234" i="50" s="1"/>
  <c r="Q234" i="50" s="1"/>
  <c r="R234" i="50" s="1"/>
  <c r="F192" i="50"/>
  <c r="U164" i="50"/>
  <c r="N164" i="50"/>
  <c r="O164" i="50" s="1"/>
  <c r="F166" i="50"/>
  <c r="C166" i="50"/>
  <c r="M166" i="50" s="1"/>
  <c r="P236" i="50" s="1"/>
  <c r="Q236" i="50" s="1"/>
  <c r="R236" i="50" s="1"/>
  <c r="F194" i="50"/>
  <c r="U166" i="50"/>
  <c r="F231" i="50"/>
  <c r="G231" i="50" s="1"/>
  <c r="H231" i="50" s="1"/>
  <c r="M292" i="50" s="1"/>
  <c r="G292" i="50"/>
  <c r="E189" i="50"/>
  <c r="E292" i="50" s="1"/>
  <c r="D189" i="50"/>
  <c r="H189" i="50"/>
  <c r="F157" i="50"/>
  <c r="C157" i="50"/>
  <c r="M157" i="50" s="1"/>
  <c r="P227" i="50" s="1"/>
  <c r="Q227" i="50" s="1"/>
  <c r="R227" i="50" s="1"/>
  <c r="U157" i="50"/>
  <c r="F185" i="50"/>
  <c r="N161" i="50"/>
  <c r="O161" i="50" s="1"/>
  <c r="F158" i="50"/>
  <c r="C158" i="50"/>
  <c r="M158" i="50" s="1"/>
  <c r="P228" i="50" s="1"/>
  <c r="Q228" i="50" s="1"/>
  <c r="R228" i="50" s="1"/>
  <c r="U158" i="50"/>
  <c r="F186" i="50"/>
  <c r="P161" i="50"/>
  <c r="Q161" i="50" s="1"/>
  <c r="K161" i="50"/>
  <c r="G290" i="50"/>
  <c r="E187" i="50"/>
  <c r="E290" i="50" s="1"/>
  <c r="D187" i="50"/>
  <c r="F229" i="50"/>
  <c r="G229" i="50" s="1"/>
  <c r="H229" i="50" s="1"/>
  <c r="M290" i="50" s="1"/>
  <c r="H187" i="50"/>
  <c r="G296" i="50"/>
  <c r="F235" i="50"/>
  <c r="G235" i="50" s="1"/>
  <c r="H235" i="50" s="1"/>
  <c r="M296" i="50" s="1"/>
  <c r="E193" i="50"/>
  <c r="E296" i="50" s="1"/>
  <c r="D193" i="50"/>
  <c r="H193" i="50"/>
  <c r="S233" i="50"/>
  <c r="S247" i="50"/>
  <c r="P165" i="50"/>
  <c r="Q165" i="50" s="1"/>
  <c r="K165" i="50"/>
  <c r="P163" i="50"/>
  <c r="Q163" i="50" s="1"/>
  <c r="K163" i="50"/>
  <c r="E191" i="50"/>
  <c r="E294" i="50" s="1"/>
  <c r="D191" i="50"/>
  <c r="F233" i="50"/>
  <c r="G233" i="50" s="1"/>
  <c r="H233" i="50" s="1"/>
  <c r="M294" i="50" s="1"/>
  <c r="G294" i="50"/>
  <c r="H191" i="50"/>
  <c r="N165" i="50"/>
  <c r="O165" i="50" s="1"/>
  <c r="N159" i="50"/>
  <c r="O159" i="50" s="1"/>
  <c r="S231" i="50"/>
  <c r="S245" i="50"/>
  <c r="S243" i="50"/>
  <c r="S229" i="50"/>
  <c r="S235" i="50"/>
  <c r="S249" i="50"/>
  <c r="U162" i="50"/>
  <c r="F162" i="50"/>
  <c r="F190" i="50"/>
  <c r="C162" i="50"/>
  <c r="M162" i="50" s="1"/>
  <c r="P232" i="50" s="1"/>
  <c r="Q232" i="50" s="1"/>
  <c r="R232" i="50" s="1"/>
  <c r="F188" i="50"/>
  <c r="F160" i="50"/>
  <c r="C160" i="50"/>
  <c r="M160" i="50" s="1"/>
  <c r="P230" i="50" s="1"/>
  <c r="Q230" i="50" s="1"/>
  <c r="R230" i="50" s="1"/>
  <c r="U160" i="50"/>
  <c r="K159" i="50"/>
  <c r="P159" i="50"/>
  <c r="Q159" i="50" s="1"/>
  <c r="N165" i="49"/>
  <c r="O165" i="49" s="1"/>
  <c r="S243" i="49"/>
  <c r="S229" i="49"/>
  <c r="F194" i="49"/>
  <c r="F166" i="49"/>
  <c r="C166" i="49"/>
  <c r="M166" i="49" s="1"/>
  <c r="P236" i="49" s="1"/>
  <c r="Q236" i="49" s="1"/>
  <c r="R236" i="49" s="1"/>
  <c r="U166" i="49"/>
  <c r="N159" i="49"/>
  <c r="O159" i="49" s="1"/>
  <c r="P165" i="49"/>
  <c r="Q165" i="49" s="1"/>
  <c r="K165" i="49"/>
  <c r="P159" i="49"/>
  <c r="Q159" i="49" s="1"/>
  <c r="K159" i="49"/>
  <c r="P158" i="49"/>
  <c r="Q158" i="49" s="1"/>
  <c r="K158" i="49"/>
  <c r="G290" i="49"/>
  <c r="E187" i="49"/>
  <c r="E290" i="49" s="1"/>
  <c r="D187" i="49"/>
  <c r="F229" i="49"/>
  <c r="G229" i="49" s="1"/>
  <c r="H229" i="49" s="1"/>
  <c r="M290" i="49" s="1"/>
  <c r="H187" i="49"/>
  <c r="F163" i="49"/>
  <c r="F191" i="49"/>
  <c r="C163" i="49"/>
  <c r="M163" i="49" s="1"/>
  <c r="P233" i="49" s="1"/>
  <c r="Q233" i="49" s="1"/>
  <c r="R233" i="49" s="1"/>
  <c r="U163" i="49"/>
  <c r="G289" i="49"/>
  <c r="D186" i="49"/>
  <c r="F228" i="49"/>
  <c r="G228" i="49" s="1"/>
  <c r="H228" i="49" s="1"/>
  <c r="M289" i="49" s="1"/>
  <c r="E186" i="49"/>
  <c r="E289" i="49" s="1"/>
  <c r="H186" i="49"/>
  <c r="S242" i="49"/>
  <c r="S228" i="49"/>
  <c r="P161" i="49"/>
  <c r="Q161" i="49" s="1"/>
  <c r="K161" i="49"/>
  <c r="S230" i="49"/>
  <c r="S244" i="49"/>
  <c r="F157" i="49"/>
  <c r="C157" i="49"/>
  <c r="M157" i="49" s="1"/>
  <c r="P227" i="49" s="1"/>
  <c r="Q227" i="49" s="1"/>
  <c r="R227" i="49" s="1"/>
  <c r="U157" i="49"/>
  <c r="F185" i="49"/>
  <c r="U162" i="49"/>
  <c r="F190" i="49"/>
  <c r="C162" i="49"/>
  <c r="M162" i="49" s="1"/>
  <c r="P232" i="49" s="1"/>
  <c r="Q232" i="49" s="1"/>
  <c r="R232" i="49" s="1"/>
  <c r="F162" i="49"/>
  <c r="P160" i="49"/>
  <c r="Q160" i="49" s="1"/>
  <c r="K160" i="49"/>
  <c r="G296" i="49"/>
  <c r="H193" i="49"/>
  <c r="F235" i="49"/>
  <c r="G235" i="49" s="1"/>
  <c r="H235" i="49" s="1"/>
  <c r="M296" i="49" s="1"/>
  <c r="E193" i="49"/>
  <c r="E296" i="49" s="1"/>
  <c r="D193" i="49"/>
  <c r="N161" i="49"/>
  <c r="O161" i="49" s="1"/>
  <c r="F164" i="49"/>
  <c r="C164" i="49"/>
  <c r="M164" i="49" s="1"/>
  <c r="P234" i="49" s="1"/>
  <c r="Q234" i="49" s="1"/>
  <c r="R234" i="49" s="1"/>
  <c r="F192" i="49"/>
  <c r="U164" i="49"/>
  <c r="F231" i="49"/>
  <c r="G231" i="49" s="1"/>
  <c r="H231" i="49" s="1"/>
  <c r="M292" i="49" s="1"/>
  <c r="H189" i="49"/>
  <c r="G292" i="49"/>
  <c r="E189" i="49"/>
  <c r="E292" i="49" s="1"/>
  <c r="D189" i="49"/>
  <c r="S231" i="49"/>
  <c r="S245" i="49"/>
  <c r="H188" i="49"/>
  <c r="G291" i="49"/>
  <c r="E188" i="49"/>
  <c r="E291" i="49" s="1"/>
  <c r="D188" i="49"/>
  <c r="F230" i="49"/>
  <c r="G230" i="49" s="1"/>
  <c r="H230" i="49" s="1"/>
  <c r="M291" i="49" s="1"/>
  <c r="S235" i="49"/>
  <c r="S249" i="49"/>
  <c r="N160" i="49"/>
  <c r="O160" i="49" s="1"/>
  <c r="S233" i="48"/>
  <c r="S247" i="48"/>
  <c r="S231" i="48"/>
  <c r="S245" i="48"/>
  <c r="F295" i="48"/>
  <c r="K295" i="48"/>
  <c r="H187" i="48"/>
  <c r="D187" i="48"/>
  <c r="G290" i="48"/>
  <c r="E187" i="48"/>
  <c r="E290" i="48" s="1"/>
  <c r="F229" i="48"/>
  <c r="G229" i="48" s="1"/>
  <c r="H229" i="48" s="1"/>
  <c r="M290" i="48" s="1"/>
  <c r="H191" i="48"/>
  <c r="D191" i="48"/>
  <c r="E191" i="48"/>
  <c r="E294" i="48" s="1"/>
  <c r="G294" i="48"/>
  <c r="F233" i="48"/>
  <c r="G233" i="48" s="1"/>
  <c r="H233" i="48" s="1"/>
  <c r="M294" i="48" s="1"/>
  <c r="D194" i="48"/>
  <c r="F236" i="48"/>
  <c r="G236" i="48" s="1"/>
  <c r="H236" i="48" s="1"/>
  <c r="M297" i="48" s="1"/>
  <c r="G297" i="48"/>
  <c r="E194" i="48"/>
  <c r="E297" i="48" s="1"/>
  <c r="H194" i="48"/>
  <c r="P163" i="48"/>
  <c r="Q163" i="48" s="1"/>
  <c r="K163" i="48"/>
  <c r="F289" i="48"/>
  <c r="K289" i="48"/>
  <c r="F231" i="48"/>
  <c r="G231" i="48" s="1"/>
  <c r="H231" i="48" s="1"/>
  <c r="M292" i="48" s="1"/>
  <c r="G292" i="48"/>
  <c r="E189" i="48"/>
  <c r="E292" i="48" s="1"/>
  <c r="D189" i="48"/>
  <c r="H189" i="48"/>
  <c r="S232" i="48"/>
  <c r="S246" i="48"/>
  <c r="S250" i="48"/>
  <c r="S236" i="48"/>
  <c r="P161" i="48"/>
  <c r="Q161" i="48" s="1"/>
  <c r="K161" i="48"/>
  <c r="D190" i="48"/>
  <c r="F232" i="48"/>
  <c r="G232" i="48" s="1"/>
  <c r="H232" i="48" s="1"/>
  <c r="M293" i="48" s="1"/>
  <c r="E190" i="48"/>
  <c r="E293" i="48" s="1"/>
  <c r="G293" i="48"/>
  <c r="H190" i="48"/>
  <c r="S244" i="48"/>
  <c r="S230" i="48"/>
  <c r="K165" i="48"/>
  <c r="P165" i="48"/>
  <c r="Q165" i="48" s="1"/>
  <c r="N161" i="48"/>
  <c r="O161" i="48" s="1"/>
  <c r="N159" i="48"/>
  <c r="O159" i="48" s="1"/>
  <c r="S235" i="48"/>
  <c r="S249" i="48"/>
  <c r="P160" i="48"/>
  <c r="Q160" i="48" s="1"/>
  <c r="K160" i="48"/>
  <c r="S227" i="48"/>
  <c r="S241" i="48"/>
  <c r="N165" i="48"/>
  <c r="O165" i="48" s="1"/>
  <c r="S243" i="48"/>
  <c r="S229" i="48"/>
  <c r="K159" i="48"/>
  <c r="P159" i="48"/>
  <c r="Q159" i="48" s="1"/>
  <c r="P166" i="48"/>
  <c r="Q166" i="48" s="1"/>
  <c r="K166" i="48"/>
  <c r="G296" i="48"/>
  <c r="F235" i="48"/>
  <c r="G235" i="48" s="1"/>
  <c r="H235" i="48" s="1"/>
  <c r="M296" i="48" s="1"/>
  <c r="E193" i="48"/>
  <c r="E296" i="48" s="1"/>
  <c r="D193" i="48"/>
  <c r="H193" i="48"/>
  <c r="H185" i="48"/>
  <c r="E185" i="48"/>
  <c r="E288" i="48" s="1"/>
  <c r="D185" i="48"/>
  <c r="G288" i="48"/>
  <c r="F227" i="48"/>
  <c r="G227" i="48" s="1"/>
  <c r="H227" i="48" s="1"/>
  <c r="M288" i="48" s="1"/>
  <c r="H188" i="48"/>
  <c r="G291" i="48"/>
  <c r="E188" i="48"/>
  <c r="E291" i="48" s="1"/>
  <c r="D188" i="48"/>
  <c r="F230" i="48"/>
  <c r="G230" i="48" s="1"/>
  <c r="H230" i="48" s="1"/>
  <c r="M291" i="48" s="1"/>
  <c r="P157" i="48"/>
  <c r="Q157" i="48" s="1"/>
  <c r="K157" i="48"/>
  <c r="P162" i="48"/>
  <c r="Q162" i="48" s="1"/>
  <c r="K162" i="48"/>
  <c r="N166" i="48"/>
  <c r="O166" i="48" s="1"/>
  <c r="N160" i="48"/>
  <c r="O160" i="48" s="1"/>
  <c r="C186" i="48"/>
  <c r="D289" i="48"/>
  <c r="R186" i="48"/>
  <c r="R192" i="48"/>
  <c r="D295" i="48"/>
  <c r="C192" i="48"/>
  <c r="K134" i="47"/>
  <c r="D164" i="47"/>
  <c r="K138" i="47"/>
  <c r="K137" i="47"/>
  <c r="D160" i="47"/>
  <c r="D159" i="47"/>
  <c r="K136" i="47"/>
  <c r="U165" i="47"/>
  <c r="F165" i="47"/>
  <c r="F193" i="47"/>
  <c r="C165" i="47"/>
  <c r="M165" i="47" s="1"/>
  <c r="P235" i="47" s="1"/>
  <c r="Q235" i="47" s="1"/>
  <c r="R235" i="47" s="1"/>
  <c r="F190" i="47"/>
  <c r="F162" i="47"/>
  <c r="C162" i="47"/>
  <c r="M162" i="47" s="1"/>
  <c r="P232" i="47" s="1"/>
  <c r="Q232" i="47" s="1"/>
  <c r="R232" i="47" s="1"/>
  <c r="U162" i="47"/>
  <c r="N162" i="47"/>
  <c r="O162" i="47" s="1"/>
  <c r="K135" i="47"/>
  <c r="D158" i="47"/>
  <c r="U166" i="47"/>
  <c r="F166" i="47"/>
  <c r="F194" i="47"/>
  <c r="C166" i="47"/>
  <c r="M166" i="47" s="1"/>
  <c r="P236" i="47" s="1"/>
  <c r="Q236" i="47" s="1"/>
  <c r="R236" i="47" s="1"/>
  <c r="F157" i="47"/>
  <c r="C157" i="47"/>
  <c r="M157" i="47" s="1"/>
  <c r="P227" i="47" s="1"/>
  <c r="Q227" i="47" s="1"/>
  <c r="R227" i="47" s="1"/>
  <c r="U157" i="47"/>
  <c r="F185" i="47"/>
  <c r="F191" i="47"/>
  <c r="F163" i="47"/>
  <c r="C163" i="47"/>
  <c r="M163" i="47" s="1"/>
  <c r="P233" i="47" s="1"/>
  <c r="Q233" i="47" s="1"/>
  <c r="R233" i="47" s="1"/>
  <c r="U163" i="47"/>
  <c r="C161" i="47"/>
  <c r="M161" i="47" s="1"/>
  <c r="P231" i="47" s="1"/>
  <c r="Q231" i="47" s="1"/>
  <c r="R231" i="47" s="1"/>
  <c r="U161" i="47"/>
  <c r="F189" i="47"/>
  <c r="F161" i="47"/>
  <c r="D159" i="46"/>
  <c r="C159" i="46" s="1"/>
  <c r="M159" i="46" s="1"/>
  <c r="K138" i="46"/>
  <c r="D158" i="46"/>
  <c r="F158" i="46" s="1"/>
  <c r="K137" i="46"/>
  <c r="K134" i="46"/>
  <c r="D165" i="46"/>
  <c r="K142" i="46"/>
  <c r="K141" i="46"/>
  <c r="D164" i="46"/>
  <c r="F188" i="46"/>
  <c r="F160" i="46"/>
  <c r="C160" i="46"/>
  <c r="M160" i="46" s="1"/>
  <c r="P230" i="46" s="1"/>
  <c r="Q230" i="46" s="1"/>
  <c r="R230" i="46" s="1"/>
  <c r="U160" i="46"/>
  <c r="F161" i="46"/>
  <c r="F189" i="46"/>
  <c r="C161" i="46"/>
  <c r="M161" i="46" s="1"/>
  <c r="P231" i="46" s="1"/>
  <c r="Q231" i="46" s="1"/>
  <c r="R231" i="46" s="1"/>
  <c r="U161" i="46"/>
  <c r="K143" i="46"/>
  <c r="D166" i="46"/>
  <c r="K139" i="46"/>
  <c r="D162" i="46"/>
  <c r="D163" i="46"/>
  <c r="K140" i="46"/>
  <c r="J291" i="46"/>
  <c r="K141" i="45"/>
  <c r="K143" i="45"/>
  <c r="F166" i="45"/>
  <c r="C166" i="45"/>
  <c r="M166" i="45" s="1"/>
  <c r="P236" i="45" s="1"/>
  <c r="Q236" i="45" s="1"/>
  <c r="R236" i="45" s="1"/>
  <c r="U166" i="45"/>
  <c r="F194" i="45"/>
  <c r="D161" i="45"/>
  <c r="K138" i="45"/>
  <c r="F165" i="45"/>
  <c r="C165" i="45"/>
  <c r="M165" i="45" s="1"/>
  <c r="P235" i="45" s="1"/>
  <c r="Q235" i="45" s="1"/>
  <c r="R235" i="45" s="1"/>
  <c r="U165" i="45"/>
  <c r="F193" i="45"/>
  <c r="F162" i="45"/>
  <c r="C162" i="45"/>
  <c r="M162" i="45" s="1"/>
  <c r="P232" i="45" s="1"/>
  <c r="Q232" i="45" s="1"/>
  <c r="R232" i="45" s="1"/>
  <c r="F190" i="45"/>
  <c r="U162" i="45"/>
  <c r="K135" i="45"/>
  <c r="D158" i="45"/>
  <c r="L189" i="45"/>
  <c r="J291" i="45"/>
  <c r="U164" i="45"/>
  <c r="F192" i="45"/>
  <c r="C164" i="45"/>
  <c r="M164" i="45" s="1"/>
  <c r="P234" i="45" s="1"/>
  <c r="Q234" i="45" s="1"/>
  <c r="R234" i="45" s="1"/>
  <c r="F164" i="45"/>
  <c r="D159" i="45"/>
  <c r="K136" i="45"/>
  <c r="D160" i="45"/>
  <c r="K137" i="45"/>
  <c r="D157" i="45"/>
  <c r="K134" i="45"/>
  <c r="F191" i="45"/>
  <c r="U163" i="45"/>
  <c r="F163" i="45"/>
  <c r="C163" i="45"/>
  <c r="M163" i="45" s="1"/>
  <c r="P233" i="45" s="1"/>
  <c r="Q233" i="45" s="1"/>
  <c r="R233" i="45" s="1"/>
  <c r="K142" i="41"/>
  <c r="F191" i="41"/>
  <c r="H191" i="41" s="1"/>
  <c r="K140" i="41"/>
  <c r="C163" i="41"/>
  <c r="K137" i="43"/>
  <c r="D160" i="43"/>
  <c r="D164" i="43"/>
  <c r="K141" i="43"/>
  <c r="K135" i="43"/>
  <c r="D158" i="43"/>
  <c r="J290" i="43"/>
  <c r="L188" i="43"/>
  <c r="D157" i="43"/>
  <c r="K134" i="43"/>
  <c r="D159" i="43"/>
  <c r="K136" i="43"/>
  <c r="K142" i="43"/>
  <c r="D165" i="43"/>
  <c r="D161" i="43"/>
  <c r="K138" i="43"/>
  <c r="D166" i="43"/>
  <c r="K143" i="43"/>
  <c r="K139" i="43"/>
  <c r="D162" i="43"/>
  <c r="D163" i="43"/>
  <c r="K140" i="43"/>
  <c r="F158" i="42"/>
  <c r="U158" i="42"/>
  <c r="C158" i="42"/>
  <c r="M158" i="42" s="1"/>
  <c r="P228" i="42" s="1"/>
  <c r="Q228" i="42" s="1"/>
  <c r="R228" i="42" s="1"/>
  <c r="F186" i="42"/>
  <c r="N158" i="42"/>
  <c r="O158" i="42" s="1"/>
  <c r="D166" i="42"/>
  <c r="K143" i="42"/>
  <c r="K139" i="42"/>
  <c r="D162" i="42"/>
  <c r="J290" i="42"/>
  <c r="L188" i="42"/>
  <c r="D164" i="42"/>
  <c r="K141" i="42"/>
  <c r="F157" i="42"/>
  <c r="U157" i="42"/>
  <c r="C157" i="42"/>
  <c r="M157" i="42" s="1"/>
  <c r="P227" i="42" s="1"/>
  <c r="Q227" i="42" s="1"/>
  <c r="R227" i="42" s="1"/>
  <c r="F185" i="42"/>
  <c r="K137" i="42"/>
  <c r="D160" i="42"/>
  <c r="D165" i="42"/>
  <c r="K142" i="42"/>
  <c r="D163" i="42"/>
  <c r="K140" i="42"/>
  <c r="F189" i="42"/>
  <c r="F161" i="42"/>
  <c r="U161" i="42"/>
  <c r="C161" i="42"/>
  <c r="M161" i="42" s="1"/>
  <c r="P231" i="42" s="1"/>
  <c r="Q231" i="42" s="1"/>
  <c r="R231" i="42" s="1"/>
  <c r="F187" i="42"/>
  <c r="U159" i="42"/>
  <c r="F159" i="42"/>
  <c r="C159" i="42"/>
  <c r="M159" i="42" s="1"/>
  <c r="P229" i="42" s="1"/>
  <c r="Q229" i="42" s="1"/>
  <c r="R229" i="42" s="1"/>
  <c r="K139" i="41"/>
  <c r="U163" i="41"/>
  <c r="D164" i="41"/>
  <c r="F164" i="41" s="1"/>
  <c r="C162" i="41"/>
  <c r="F190" i="41"/>
  <c r="H190" i="41" s="1"/>
  <c r="U162" i="41"/>
  <c r="E191" i="41"/>
  <c r="F233" i="41"/>
  <c r="G233" i="41" s="1"/>
  <c r="H233" i="41" s="1"/>
  <c r="M294" i="41" s="1"/>
  <c r="G294" i="41"/>
  <c r="K294" i="41" s="1"/>
  <c r="L189" i="41"/>
  <c r="J291" i="41"/>
  <c r="D160" i="41"/>
  <c r="F160" i="41" s="1"/>
  <c r="K137" i="41"/>
  <c r="C165" i="41"/>
  <c r="U165" i="41"/>
  <c r="F193" i="41"/>
  <c r="H193" i="41" s="1"/>
  <c r="D157" i="41"/>
  <c r="K134" i="41"/>
  <c r="C166" i="41"/>
  <c r="U166" i="41"/>
  <c r="F194" i="41"/>
  <c r="H194" i="41" s="1"/>
  <c r="D161" i="41"/>
  <c r="F161" i="41" s="1"/>
  <c r="K138" i="41"/>
  <c r="K135" i="41"/>
  <c r="D158" i="41"/>
  <c r="F158" i="41" s="1"/>
  <c r="M163" i="41"/>
  <c r="K136" i="41"/>
  <c r="D159" i="41"/>
  <c r="F159" i="41" s="1"/>
  <c r="A42" i="39"/>
  <c r="C42" i="39" s="1"/>
  <c r="A44" i="39"/>
  <c r="C44" i="39" s="1"/>
  <c r="A31" i="39"/>
  <c r="A32" i="39"/>
  <c r="A33" i="39"/>
  <c r="A34" i="39"/>
  <c r="A35" i="39"/>
  <c r="A36" i="39"/>
  <c r="A37" i="39"/>
  <c r="A38" i="39"/>
  <c r="A39" i="39"/>
  <c r="A40" i="39"/>
  <c r="C40" i="39" s="1"/>
  <c r="A41" i="39"/>
  <c r="A43" i="39"/>
  <c r="A30" i="39"/>
  <c r="N157" i="52" l="1"/>
  <c r="O157" i="52" s="1"/>
  <c r="N162" i="52"/>
  <c r="O162" i="52" s="1"/>
  <c r="N165" i="52"/>
  <c r="O165" i="52" s="1"/>
  <c r="H187" i="52"/>
  <c r="G290" i="52"/>
  <c r="E187" i="52"/>
  <c r="E290" i="52" s="1"/>
  <c r="D187" i="52"/>
  <c r="F229" i="52"/>
  <c r="G229" i="52" s="1"/>
  <c r="H229" i="52" s="1"/>
  <c r="M290" i="52" s="1"/>
  <c r="S244" i="52"/>
  <c r="S230" i="52"/>
  <c r="D194" i="52"/>
  <c r="F236" i="52"/>
  <c r="G236" i="52" s="1"/>
  <c r="H236" i="52" s="1"/>
  <c r="M297" i="52" s="1"/>
  <c r="E194" i="52"/>
  <c r="E297" i="52" s="1"/>
  <c r="G297" i="52"/>
  <c r="H194" i="52"/>
  <c r="P160" i="52"/>
  <c r="Q160" i="52" s="1"/>
  <c r="K160" i="52"/>
  <c r="H188" i="52"/>
  <c r="G291" i="52"/>
  <c r="E188" i="52"/>
  <c r="E291" i="52" s="1"/>
  <c r="D188" i="52"/>
  <c r="F230" i="52"/>
  <c r="G230" i="52" s="1"/>
  <c r="H230" i="52" s="1"/>
  <c r="M291" i="52" s="1"/>
  <c r="N160" i="52"/>
  <c r="O160" i="52" s="1"/>
  <c r="C186" i="52"/>
  <c r="D289" i="52"/>
  <c r="R186" i="52"/>
  <c r="E185" i="52"/>
  <c r="E288" i="52" s="1"/>
  <c r="D185" i="52"/>
  <c r="G288" i="52"/>
  <c r="F227" i="52"/>
  <c r="G227" i="52" s="1"/>
  <c r="H227" i="52" s="1"/>
  <c r="M288" i="52" s="1"/>
  <c r="H185" i="52"/>
  <c r="F289" i="52"/>
  <c r="K289" i="52"/>
  <c r="G296" i="52"/>
  <c r="F235" i="52"/>
  <c r="G235" i="52" s="1"/>
  <c r="H235" i="52" s="1"/>
  <c r="M296" i="52" s="1"/>
  <c r="E193" i="52"/>
  <c r="E296" i="52" s="1"/>
  <c r="D193" i="52"/>
  <c r="H193" i="52"/>
  <c r="P162" i="52"/>
  <c r="Q162" i="52" s="1"/>
  <c r="K162" i="52"/>
  <c r="S227" i="52"/>
  <c r="S241" i="52"/>
  <c r="S235" i="52"/>
  <c r="S249" i="52"/>
  <c r="S232" i="52"/>
  <c r="S246" i="52"/>
  <c r="P157" i="52"/>
  <c r="Q157" i="52" s="1"/>
  <c r="K157" i="52"/>
  <c r="P165" i="52"/>
  <c r="Q165" i="52" s="1"/>
  <c r="K165" i="52"/>
  <c r="R189" i="52"/>
  <c r="D292" i="52"/>
  <c r="C189" i="52"/>
  <c r="D190" i="52"/>
  <c r="E190" i="52"/>
  <c r="E293" i="52" s="1"/>
  <c r="F232" i="52"/>
  <c r="G232" i="52" s="1"/>
  <c r="H232" i="52" s="1"/>
  <c r="M293" i="52" s="1"/>
  <c r="G293" i="52"/>
  <c r="H190" i="52"/>
  <c r="F292" i="52"/>
  <c r="K292" i="52"/>
  <c r="D294" i="52"/>
  <c r="C191" i="52"/>
  <c r="R191" i="52"/>
  <c r="S243" i="52"/>
  <c r="S229" i="52"/>
  <c r="P166" i="52"/>
  <c r="Q166" i="52" s="1"/>
  <c r="K166" i="52"/>
  <c r="F294" i="52"/>
  <c r="K294" i="52"/>
  <c r="D295" i="52"/>
  <c r="R192" i="52"/>
  <c r="C192" i="52"/>
  <c r="N159" i="52"/>
  <c r="O159" i="52" s="1"/>
  <c r="S250" i="52"/>
  <c r="S236" i="52"/>
  <c r="P159" i="52"/>
  <c r="Q159" i="52" s="1"/>
  <c r="K159" i="52"/>
  <c r="N166" i="52"/>
  <c r="O166" i="52" s="1"/>
  <c r="F295" i="52"/>
  <c r="K295" i="52"/>
  <c r="N160" i="51"/>
  <c r="O160" i="51" s="1"/>
  <c r="N165" i="51"/>
  <c r="O165" i="51" s="1"/>
  <c r="N164" i="51"/>
  <c r="O164" i="51" s="1"/>
  <c r="N162" i="51"/>
  <c r="O162" i="51" s="1"/>
  <c r="P165" i="51"/>
  <c r="Q165" i="51" s="1"/>
  <c r="K165" i="51"/>
  <c r="F288" i="51"/>
  <c r="K288" i="51"/>
  <c r="R189" i="51"/>
  <c r="D292" i="51"/>
  <c r="C189" i="51"/>
  <c r="K164" i="51"/>
  <c r="P164" i="51"/>
  <c r="Q164" i="51" s="1"/>
  <c r="D288" i="51"/>
  <c r="R185" i="51"/>
  <c r="C185" i="51"/>
  <c r="D291" i="51"/>
  <c r="C188" i="51"/>
  <c r="R188" i="51"/>
  <c r="F291" i="51"/>
  <c r="K291" i="51"/>
  <c r="D190" i="51"/>
  <c r="E190" i="51"/>
  <c r="E293" i="51" s="1"/>
  <c r="F232" i="51"/>
  <c r="G232" i="51" s="1"/>
  <c r="H232" i="51" s="1"/>
  <c r="M293" i="51" s="1"/>
  <c r="G293" i="51"/>
  <c r="H190" i="51"/>
  <c r="P162" i="51"/>
  <c r="Q162" i="51" s="1"/>
  <c r="K162" i="51"/>
  <c r="C194" i="51"/>
  <c r="R194" i="51"/>
  <c r="D297" i="51"/>
  <c r="F297" i="51"/>
  <c r="K297" i="51"/>
  <c r="N163" i="51"/>
  <c r="O163" i="51" s="1"/>
  <c r="S232" i="51"/>
  <c r="S246" i="51"/>
  <c r="C289" i="51"/>
  <c r="P206" i="51"/>
  <c r="Q206" i="51" s="1"/>
  <c r="R206" i="51" s="1"/>
  <c r="C187" i="51"/>
  <c r="D290" i="51"/>
  <c r="R187" i="51"/>
  <c r="H191" i="51"/>
  <c r="E191" i="51"/>
  <c r="E294" i="51" s="1"/>
  <c r="D191" i="51"/>
  <c r="G294" i="51"/>
  <c r="F233" i="51"/>
  <c r="G233" i="51" s="1"/>
  <c r="H233" i="51" s="1"/>
  <c r="M294" i="51" s="1"/>
  <c r="F292" i="51"/>
  <c r="K292" i="51"/>
  <c r="S233" i="51"/>
  <c r="S247" i="51"/>
  <c r="P163" i="51"/>
  <c r="Q163" i="51" s="1"/>
  <c r="K163" i="51"/>
  <c r="F290" i="51"/>
  <c r="K290" i="51"/>
  <c r="G296" i="51"/>
  <c r="F235" i="51"/>
  <c r="G235" i="51" s="1"/>
  <c r="H235" i="51" s="1"/>
  <c r="M296" i="51" s="1"/>
  <c r="E193" i="51"/>
  <c r="E296" i="51" s="1"/>
  <c r="D193" i="51"/>
  <c r="H193" i="51"/>
  <c r="G295" i="51"/>
  <c r="H192" i="51"/>
  <c r="F234" i="51"/>
  <c r="G234" i="51" s="1"/>
  <c r="H234" i="51" s="1"/>
  <c r="M295" i="51" s="1"/>
  <c r="E192" i="51"/>
  <c r="E295" i="51" s="1"/>
  <c r="D192" i="51"/>
  <c r="S235" i="51"/>
  <c r="S249" i="51"/>
  <c r="S234" i="51"/>
  <c r="S248" i="51"/>
  <c r="N160" i="50"/>
  <c r="O160" i="50" s="1"/>
  <c r="N157" i="50"/>
  <c r="O157" i="50" s="1"/>
  <c r="H188" i="50"/>
  <c r="G291" i="50"/>
  <c r="E188" i="50"/>
  <c r="E291" i="50" s="1"/>
  <c r="D188" i="50"/>
  <c r="F230" i="50"/>
  <c r="G230" i="50" s="1"/>
  <c r="H230" i="50" s="1"/>
  <c r="M291" i="50" s="1"/>
  <c r="F294" i="50"/>
  <c r="K294" i="50"/>
  <c r="P157" i="50"/>
  <c r="Q157" i="50" s="1"/>
  <c r="K157" i="50"/>
  <c r="C187" i="50"/>
  <c r="D290" i="50"/>
  <c r="R187" i="50"/>
  <c r="D294" i="50"/>
  <c r="C191" i="50"/>
  <c r="R191" i="50"/>
  <c r="R189" i="50"/>
  <c r="D292" i="50"/>
  <c r="C189" i="50"/>
  <c r="D190" i="50"/>
  <c r="F232" i="50"/>
  <c r="G232" i="50" s="1"/>
  <c r="H232" i="50" s="1"/>
  <c r="M293" i="50" s="1"/>
  <c r="G293" i="50"/>
  <c r="E190" i="50"/>
  <c r="E293" i="50" s="1"/>
  <c r="H190" i="50"/>
  <c r="F290" i="50"/>
  <c r="K290" i="50"/>
  <c r="S232" i="50"/>
  <c r="S246" i="50"/>
  <c r="K162" i="50"/>
  <c r="P162" i="50"/>
  <c r="Q162" i="50" s="1"/>
  <c r="F292" i="50"/>
  <c r="K292" i="50"/>
  <c r="G289" i="50"/>
  <c r="D186" i="50"/>
  <c r="F228" i="50"/>
  <c r="G228" i="50" s="1"/>
  <c r="H228" i="50" s="1"/>
  <c r="M289" i="50" s="1"/>
  <c r="E186" i="50"/>
  <c r="E289" i="50" s="1"/>
  <c r="H186" i="50"/>
  <c r="N158" i="50"/>
  <c r="O158" i="50" s="1"/>
  <c r="D194" i="50"/>
  <c r="F236" i="50"/>
  <c r="G236" i="50" s="1"/>
  <c r="H236" i="50" s="1"/>
  <c r="M297" i="50" s="1"/>
  <c r="G297" i="50"/>
  <c r="E194" i="50"/>
  <c r="E297" i="50" s="1"/>
  <c r="H194" i="50"/>
  <c r="S250" i="50"/>
  <c r="S236" i="50"/>
  <c r="N162" i="50"/>
  <c r="O162" i="50" s="1"/>
  <c r="P166" i="50"/>
  <c r="Q166" i="50" s="1"/>
  <c r="K166" i="50"/>
  <c r="P158" i="50"/>
  <c r="Q158" i="50" s="1"/>
  <c r="K158" i="50"/>
  <c r="N166" i="50"/>
  <c r="O166" i="50" s="1"/>
  <c r="S242" i="50"/>
  <c r="S228" i="50"/>
  <c r="R193" i="50"/>
  <c r="D296" i="50"/>
  <c r="C193" i="50"/>
  <c r="H185" i="50"/>
  <c r="E185" i="50"/>
  <c r="E288" i="50" s="1"/>
  <c r="D185" i="50"/>
  <c r="G288" i="50"/>
  <c r="F227" i="50"/>
  <c r="G227" i="50" s="1"/>
  <c r="H227" i="50" s="1"/>
  <c r="M288" i="50" s="1"/>
  <c r="S230" i="50"/>
  <c r="S244" i="50"/>
  <c r="F296" i="50"/>
  <c r="K296" i="50"/>
  <c r="S234" i="50"/>
  <c r="S248" i="50"/>
  <c r="G295" i="50"/>
  <c r="H192" i="50"/>
  <c r="F234" i="50"/>
  <c r="G234" i="50" s="1"/>
  <c r="H234" i="50" s="1"/>
  <c r="M295" i="50" s="1"/>
  <c r="E192" i="50"/>
  <c r="E295" i="50" s="1"/>
  <c r="D192" i="50"/>
  <c r="P160" i="50"/>
  <c r="Q160" i="50" s="1"/>
  <c r="K160" i="50"/>
  <c r="S227" i="50"/>
  <c r="S241" i="50"/>
  <c r="P164" i="50"/>
  <c r="Q164" i="50" s="1"/>
  <c r="K164" i="50"/>
  <c r="N163" i="49"/>
  <c r="O163" i="49" s="1"/>
  <c r="N157" i="49"/>
  <c r="O157" i="49" s="1"/>
  <c r="N166" i="49"/>
  <c r="O166" i="49" s="1"/>
  <c r="F292" i="49"/>
  <c r="K292" i="49"/>
  <c r="P162" i="49"/>
  <c r="Q162" i="49" s="1"/>
  <c r="K162" i="49"/>
  <c r="S232" i="49"/>
  <c r="S246" i="49"/>
  <c r="N162" i="49"/>
  <c r="O162" i="49" s="1"/>
  <c r="C186" i="49"/>
  <c r="D289" i="49"/>
  <c r="R186" i="49"/>
  <c r="G295" i="49"/>
  <c r="H192" i="49"/>
  <c r="F234" i="49"/>
  <c r="G234" i="49" s="1"/>
  <c r="H234" i="49" s="1"/>
  <c r="M295" i="49" s="1"/>
  <c r="E192" i="49"/>
  <c r="E295" i="49" s="1"/>
  <c r="D192" i="49"/>
  <c r="F289" i="49"/>
  <c r="K289" i="49"/>
  <c r="S248" i="49"/>
  <c r="S234" i="49"/>
  <c r="F290" i="49"/>
  <c r="K290" i="49"/>
  <c r="N164" i="49"/>
  <c r="O164" i="49" s="1"/>
  <c r="G288" i="49"/>
  <c r="F227" i="49"/>
  <c r="G227" i="49" s="1"/>
  <c r="H227" i="49" s="1"/>
  <c r="M288" i="49" s="1"/>
  <c r="E185" i="49"/>
  <c r="E288" i="49" s="1"/>
  <c r="D185" i="49"/>
  <c r="H185" i="49"/>
  <c r="R189" i="49"/>
  <c r="C189" i="49"/>
  <c r="D292" i="49"/>
  <c r="K164" i="49"/>
  <c r="P164" i="49"/>
  <c r="Q164" i="49" s="1"/>
  <c r="S233" i="49"/>
  <c r="S247" i="49"/>
  <c r="S250" i="49"/>
  <c r="S236" i="49"/>
  <c r="D190" i="49"/>
  <c r="F232" i="49"/>
  <c r="G232" i="49" s="1"/>
  <c r="H232" i="49" s="1"/>
  <c r="M293" i="49" s="1"/>
  <c r="E190" i="49"/>
  <c r="E293" i="49" s="1"/>
  <c r="G293" i="49"/>
  <c r="H190" i="49"/>
  <c r="R188" i="49"/>
  <c r="D291" i="49"/>
  <c r="C188" i="49"/>
  <c r="S227" i="49"/>
  <c r="S241" i="49"/>
  <c r="E191" i="49"/>
  <c r="E294" i="49" s="1"/>
  <c r="G294" i="49"/>
  <c r="D191" i="49"/>
  <c r="F233" i="49"/>
  <c r="G233" i="49" s="1"/>
  <c r="H233" i="49" s="1"/>
  <c r="M294" i="49" s="1"/>
  <c r="H191" i="49"/>
  <c r="P166" i="49"/>
  <c r="Q166" i="49" s="1"/>
  <c r="K166" i="49"/>
  <c r="K296" i="49"/>
  <c r="F296" i="49"/>
  <c r="C193" i="49"/>
  <c r="R193" i="49"/>
  <c r="D296" i="49"/>
  <c r="F291" i="49"/>
  <c r="K291" i="49"/>
  <c r="P157" i="49"/>
  <c r="Q157" i="49" s="1"/>
  <c r="K157" i="49"/>
  <c r="P163" i="49"/>
  <c r="Q163" i="49" s="1"/>
  <c r="K163" i="49"/>
  <c r="D194" i="49"/>
  <c r="F236" i="49"/>
  <c r="G236" i="49" s="1"/>
  <c r="H236" i="49" s="1"/>
  <c r="M297" i="49" s="1"/>
  <c r="G297" i="49"/>
  <c r="E194" i="49"/>
  <c r="E297" i="49" s="1"/>
  <c r="H194" i="49"/>
  <c r="C187" i="49"/>
  <c r="D290" i="49"/>
  <c r="R187" i="49"/>
  <c r="F294" i="48"/>
  <c r="K294" i="48"/>
  <c r="F296" i="48"/>
  <c r="K296" i="48"/>
  <c r="R188" i="48"/>
  <c r="D291" i="48"/>
  <c r="C188" i="48"/>
  <c r="F290" i="48"/>
  <c r="K290" i="48"/>
  <c r="F291" i="48"/>
  <c r="K291" i="48"/>
  <c r="F293" i="48"/>
  <c r="K293" i="48"/>
  <c r="C187" i="48"/>
  <c r="D290" i="48"/>
  <c r="R187" i="48"/>
  <c r="C295" i="48"/>
  <c r="P212" i="48"/>
  <c r="Q212" i="48" s="1"/>
  <c r="R212" i="48" s="1"/>
  <c r="R189" i="48"/>
  <c r="D292" i="48"/>
  <c r="C189" i="48"/>
  <c r="F292" i="48"/>
  <c r="K292" i="48"/>
  <c r="D288" i="48"/>
  <c r="R185" i="48"/>
  <c r="C185" i="48"/>
  <c r="R193" i="48"/>
  <c r="D296" i="48"/>
  <c r="C193" i="48"/>
  <c r="D294" i="48"/>
  <c r="C191" i="48"/>
  <c r="R191" i="48"/>
  <c r="C190" i="48"/>
  <c r="D293" i="48"/>
  <c r="R190" i="48"/>
  <c r="F297" i="48"/>
  <c r="K297" i="48"/>
  <c r="F288" i="48"/>
  <c r="K288" i="48"/>
  <c r="C289" i="48"/>
  <c r="P206" i="48"/>
  <c r="Q206" i="48" s="1"/>
  <c r="R206" i="48" s="1"/>
  <c r="C194" i="48"/>
  <c r="R194" i="48"/>
  <c r="D297" i="48"/>
  <c r="N157" i="47"/>
  <c r="O157" i="47" s="1"/>
  <c r="U164" i="47"/>
  <c r="C164" i="47"/>
  <c r="M164" i="47" s="1"/>
  <c r="P234" i="47" s="1"/>
  <c r="Q234" i="47" s="1"/>
  <c r="R234" i="47" s="1"/>
  <c r="S234" i="47" s="1"/>
  <c r="F164" i="47"/>
  <c r="F192" i="47"/>
  <c r="S232" i="47"/>
  <c r="S246" i="47"/>
  <c r="E190" i="47"/>
  <c r="E293" i="47" s="1"/>
  <c r="D190" i="47"/>
  <c r="F232" i="47"/>
  <c r="G232" i="47" s="1"/>
  <c r="H232" i="47" s="1"/>
  <c r="M293" i="47" s="1"/>
  <c r="G293" i="47"/>
  <c r="H190" i="47"/>
  <c r="G296" i="47"/>
  <c r="F235" i="47"/>
  <c r="G235" i="47" s="1"/>
  <c r="H235" i="47" s="1"/>
  <c r="M296" i="47" s="1"/>
  <c r="E193" i="47"/>
  <c r="E296" i="47" s="1"/>
  <c r="D193" i="47"/>
  <c r="H193" i="47"/>
  <c r="S233" i="47"/>
  <c r="S247" i="47"/>
  <c r="S227" i="47"/>
  <c r="S241" i="47"/>
  <c r="K165" i="47"/>
  <c r="P165" i="47"/>
  <c r="Q165" i="47" s="1"/>
  <c r="H191" i="47"/>
  <c r="E191" i="47"/>
  <c r="E294" i="47" s="1"/>
  <c r="D191" i="47"/>
  <c r="G294" i="47"/>
  <c r="F233" i="47"/>
  <c r="G233" i="47" s="1"/>
  <c r="H233" i="47" s="1"/>
  <c r="M294" i="47" s="1"/>
  <c r="G288" i="47"/>
  <c r="F227" i="47"/>
  <c r="G227" i="47" s="1"/>
  <c r="H227" i="47" s="1"/>
  <c r="M288" i="47" s="1"/>
  <c r="E185" i="47"/>
  <c r="E288" i="47" s="1"/>
  <c r="H185" i="47"/>
  <c r="K157" i="47"/>
  <c r="Q157" i="47"/>
  <c r="N165" i="47"/>
  <c r="O165" i="47" s="1"/>
  <c r="F187" i="47"/>
  <c r="F159" i="47"/>
  <c r="C159" i="47"/>
  <c r="M159" i="47" s="1"/>
  <c r="P229" i="47" s="1"/>
  <c r="Q229" i="47" s="1"/>
  <c r="R229" i="47" s="1"/>
  <c r="U159" i="47"/>
  <c r="K163" i="47"/>
  <c r="P163" i="47"/>
  <c r="Q163" i="47" s="1"/>
  <c r="K161" i="47"/>
  <c r="P161" i="47"/>
  <c r="Q161" i="47" s="1"/>
  <c r="F236" i="47"/>
  <c r="G236" i="47" s="1"/>
  <c r="H236" i="47" s="1"/>
  <c r="M297" i="47" s="1"/>
  <c r="G297" i="47"/>
  <c r="E194" i="47"/>
  <c r="E297" i="47" s="1"/>
  <c r="H194" i="47"/>
  <c r="U160" i="47"/>
  <c r="F188" i="47"/>
  <c r="F160" i="47"/>
  <c r="C160" i="47"/>
  <c r="M160" i="47" s="1"/>
  <c r="P230" i="47" s="1"/>
  <c r="Q230" i="47" s="1"/>
  <c r="R230" i="47" s="1"/>
  <c r="P162" i="47"/>
  <c r="Q162" i="47" s="1"/>
  <c r="K162" i="47"/>
  <c r="S250" i="47"/>
  <c r="S236" i="47"/>
  <c r="F231" i="47"/>
  <c r="G231" i="47" s="1"/>
  <c r="H231" i="47" s="1"/>
  <c r="M292" i="47" s="1"/>
  <c r="G292" i="47"/>
  <c r="H189" i="47"/>
  <c r="E189" i="47"/>
  <c r="E292" i="47" s="1"/>
  <c r="D189" i="47"/>
  <c r="K166" i="47"/>
  <c r="P166" i="47"/>
  <c r="Q166" i="47" s="1"/>
  <c r="S248" i="47"/>
  <c r="S235" i="47"/>
  <c r="S249" i="47"/>
  <c r="N161" i="47"/>
  <c r="O161" i="47" s="1"/>
  <c r="N166" i="47"/>
  <c r="O166" i="47" s="1"/>
  <c r="K164" i="47"/>
  <c r="P164" i="47"/>
  <c r="Q164" i="47" s="1"/>
  <c r="G295" i="47"/>
  <c r="F234" i="47"/>
  <c r="G234" i="47" s="1"/>
  <c r="H234" i="47" s="1"/>
  <c r="M295" i="47" s="1"/>
  <c r="E192" i="47"/>
  <c r="E295" i="47" s="1"/>
  <c r="D192" i="47"/>
  <c r="H192" i="47"/>
  <c r="S231" i="47"/>
  <c r="S245" i="47"/>
  <c r="F186" i="47"/>
  <c r="F158" i="47"/>
  <c r="C158" i="47"/>
  <c r="M158" i="47" s="1"/>
  <c r="P228" i="47" s="1"/>
  <c r="Q228" i="47" s="1"/>
  <c r="R228" i="47" s="1"/>
  <c r="U158" i="47"/>
  <c r="N163" i="47"/>
  <c r="O163" i="47" s="1"/>
  <c r="F159" i="46"/>
  <c r="K159" i="46" s="1"/>
  <c r="F187" i="46"/>
  <c r="H187" i="46" s="1"/>
  <c r="U159" i="46"/>
  <c r="P229" i="46"/>
  <c r="Q229" i="46" s="1"/>
  <c r="R229" i="46" s="1"/>
  <c r="S229" i="46" s="1"/>
  <c r="N159" i="46"/>
  <c r="O159" i="46" s="1"/>
  <c r="N160" i="46"/>
  <c r="O160" i="46" s="1"/>
  <c r="F186" i="46"/>
  <c r="H186" i="46" s="1"/>
  <c r="U158" i="46"/>
  <c r="C158" i="46"/>
  <c r="M158" i="46" s="1"/>
  <c r="P228" i="46" s="1"/>
  <c r="Q228" i="46" s="1"/>
  <c r="R228" i="46" s="1"/>
  <c r="S242" i="46" s="1"/>
  <c r="N161" i="46"/>
  <c r="O161" i="46" s="1"/>
  <c r="U157" i="46"/>
  <c r="F185" i="46"/>
  <c r="C157" i="46"/>
  <c r="M157" i="46" s="1"/>
  <c r="E187" i="46"/>
  <c r="E290" i="46" s="1"/>
  <c r="U164" i="46"/>
  <c r="F192" i="46"/>
  <c r="F164" i="46"/>
  <c r="C164" i="46"/>
  <c r="M164" i="46" s="1"/>
  <c r="P234" i="46" s="1"/>
  <c r="Q234" i="46" s="1"/>
  <c r="R234" i="46" s="1"/>
  <c r="S244" i="46"/>
  <c r="S230" i="46"/>
  <c r="F166" i="46"/>
  <c r="C166" i="46"/>
  <c r="M166" i="46" s="1"/>
  <c r="P236" i="46" s="1"/>
  <c r="Q236" i="46" s="1"/>
  <c r="R236" i="46" s="1"/>
  <c r="U166" i="46"/>
  <c r="F194" i="46"/>
  <c r="S231" i="46"/>
  <c r="S245" i="46"/>
  <c r="F165" i="46"/>
  <c r="C165" i="46"/>
  <c r="M165" i="46" s="1"/>
  <c r="P235" i="46" s="1"/>
  <c r="Q235" i="46" s="1"/>
  <c r="R235" i="46" s="1"/>
  <c r="U165" i="46"/>
  <c r="F193" i="46"/>
  <c r="E188" i="46"/>
  <c r="E291" i="46" s="1"/>
  <c r="D188" i="46"/>
  <c r="G291" i="46"/>
  <c r="F230" i="46"/>
  <c r="G230" i="46" s="1"/>
  <c r="H230" i="46" s="1"/>
  <c r="M291" i="46" s="1"/>
  <c r="H188" i="46"/>
  <c r="J292" i="46"/>
  <c r="K161" i="46"/>
  <c r="P161" i="46"/>
  <c r="Q161" i="46" s="1"/>
  <c r="F162" i="46"/>
  <c r="C162" i="46"/>
  <c r="M162" i="46" s="1"/>
  <c r="P232" i="46" s="1"/>
  <c r="Q232" i="46" s="1"/>
  <c r="R232" i="46" s="1"/>
  <c r="F190" i="46"/>
  <c r="U162" i="46"/>
  <c r="F191" i="46"/>
  <c r="U163" i="46"/>
  <c r="F163" i="46"/>
  <c r="C163" i="46"/>
  <c r="M163" i="46" s="1"/>
  <c r="P233" i="46" s="1"/>
  <c r="Q233" i="46" s="1"/>
  <c r="R233" i="46" s="1"/>
  <c r="K158" i="46"/>
  <c r="P158" i="46"/>
  <c r="Q158" i="46" s="1"/>
  <c r="P160" i="46"/>
  <c r="Q160" i="46" s="1"/>
  <c r="K160" i="46"/>
  <c r="F231" i="46"/>
  <c r="G231" i="46" s="1"/>
  <c r="H231" i="46" s="1"/>
  <c r="M292" i="46" s="1"/>
  <c r="H189" i="46"/>
  <c r="E189" i="46"/>
  <c r="E292" i="46" s="1"/>
  <c r="D189" i="46"/>
  <c r="G292" i="46"/>
  <c r="N166" i="45"/>
  <c r="O166" i="45" s="1"/>
  <c r="N165" i="45"/>
  <c r="O165" i="45" s="1"/>
  <c r="U157" i="45"/>
  <c r="F185" i="45"/>
  <c r="C157" i="45"/>
  <c r="M157" i="45" s="1"/>
  <c r="P227" i="45" s="1"/>
  <c r="Q227" i="45" s="1"/>
  <c r="R227" i="45" s="1"/>
  <c r="K162" i="45"/>
  <c r="P162" i="45"/>
  <c r="Q162" i="45" s="1"/>
  <c r="S232" i="45"/>
  <c r="S246" i="45"/>
  <c r="F188" i="45"/>
  <c r="F160" i="45"/>
  <c r="C160" i="45"/>
  <c r="M160" i="45" s="1"/>
  <c r="P230" i="45" s="1"/>
  <c r="Q230" i="45" s="1"/>
  <c r="R230" i="45" s="1"/>
  <c r="U160" i="45"/>
  <c r="N162" i="45"/>
  <c r="O162" i="45" s="1"/>
  <c r="C159" i="45"/>
  <c r="M159" i="45" s="1"/>
  <c r="P229" i="45" s="1"/>
  <c r="Q229" i="45" s="1"/>
  <c r="R229" i="45" s="1"/>
  <c r="U159" i="45"/>
  <c r="F159" i="45"/>
  <c r="F187" i="45"/>
  <c r="G296" i="45"/>
  <c r="E193" i="45"/>
  <c r="E296" i="45" s="1"/>
  <c r="F235" i="45"/>
  <c r="G235" i="45" s="1"/>
  <c r="H235" i="45" s="1"/>
  <c r="M296" i="45" s="1"/>
  <c r="H193" i="45"/>
  <c r="S248" i="45"/>
  <c r="S234" i="45"/>
  <c r="S235" i="45"/>
  <c r="S249" i="45"/>
  <c r="F232" i="45"/>
  <c r="G232" i="45" s="1"/>
  <c r="H232" i="45" s="1"/>
  <c r="M293" i="45" s="1"/>
  <c r="G293" i="45"/>
  <c r="E190" i="45"/>
  <c r="E293" i="45" s="1"/>
  <c r="H190" i="45"/>
  <c r="P164" i="45"/>
  <c r="Q164" i="45" s="1"/>
  <c r="K164" i="45"/>
  <c r="N164" i="45"/>
  <c r="O164" i="45" s="1"/>
  <c r="P165" i="45"/>
  <c r="Q165" i="45" s="1"/>
  <c r="K165" i="45"/>
  <c r="G295" i="45"/>
  <c r="F234" i="45"/>
  <c r="G234" i="45" s="1"/>
  <c r="H234" i="45" s="1"/>
  <c r="M295" i="45" s="1"/>
  <c r="E192" i="45"/>
  <c r="E295" i="45" s="1"/>
  <c r="H192" i="45"/>
  <c r="F161" i="45"/>
  <c r="F189" i="45"/>
  <c r="C161" i="45"/>
  <c r="M161" i="45" s="1"/>
  <c r="P231" i="45" s="1"/>
  <c r="Q231" i="45" s="1"/>
  <c r="R231" i="45" s="1"/>
  <c r="U161" i="45"/>
  <c r="S233" i="45"/>
  <c r="S247" i="45"/>
  <c r="K163" i="45"/>
  <c r="P163" i="45"/>
  <c r="Q163" i="45" s="1"/>
  <c r="J292" i="45"/>
  <c r="L190" i="45"/>
  <c r="F236" i="45"/>
  <c r="G236" i="45" s="1"/>
  <c r="H236" i="45" s="1"/>
  <c r="M297" i="45" s="1"/>
  <c r="G297" i="45"/>
  <c r="E194" i="45"/>
  <c r="E297" i="45" s="1"/>
  <c r="H194" i="45"/>
  <c r="N163" i="45"/>
  <c r="O163" i="45" s="1"/>
  <c r="U158" i="45"/>
  <c r="F186" i="45"/>
  <c r="F158" i="45"/>
  <c r="C158" i="45"/>
  <c r="M158" i="45" s="1"/>
  <c r="P228" i="45" s="1"/>
  <c r="Q228" i="45" s="1"/>
  <c r="R228" i="45" s="1"/>
  <c r="S250" i="45"/>
  <c r="S236" i="45"/>
  <c r="F233" i="45"/>
  <c r="G233" i="45" s="1"/>
  <c r="H233" i="45" s="1"/>
  <c r="M294" i="45" s="1"/>
  <c r="E191" i="45"/>
  <c r="E294" i="45" s="1"/>
  <c r="G294" i="45"/>
  <c r="H191" i="45"/>
  <c r="P166" i="45"/>
  <c r="Q166" i="45" s="1"/>
  <c r="K166" i="45"/>
  <c r="C164" i="41"/>
  <c r="U164" i="41"/>
  <c r="F192" i="41"/>
  <c r="H192" i="41" s="1"/>
  <c r="F158" i="43"/>
  <c r="F186" i="43"/>
  <c r="U158" i="43"/>
  <c r="C158" i="43"/>
  <c r="M158" i="43" s="1"/>
  <c r="P228" i="43" s="1"/>
  <c r="Q228" i="43" s="1"/>
  <c r="R228" i="43" s="1"/>
  <c r="F189" i="43"/>
  <c r="F161" i="43"/>
  <c r="U161" i="43"/>
  <c r="C161" i="43"/>
  <c r="M161" i="43" s="1"/>
  <c r="P231" i="43" s="1"/>
  <c r="Q231" i="43" s="1"/>
  <c r="R231" i="43" s="1"/>
  <c r="F165" i="43"/>
  <c r="F193" i="43"/>
  <c r="U165" i="43"/>
  <c r="C165" i="43"/>
  <c r="M165" i="43" s="1"/>
  <c r="P235" i="43" s="1"/>
  <c r="Q235" i="43" s="1"/>
  <c r="R235" i="43" s="1"/>
  <c r="U160" i="43"/>
  <c r="C160" i="43"/>
  <c r="M160" i="43" s="1"/>
  <c r="P230" i="43" s="1"/>
  <c r="Q230" i="43" s="1"/>
  <c r="R230" i="43" s="1"/>
  <c r="F188" i="43"/>
  <c r="F160" i="43"/>
  <c r="F192" i="43"/>
  <c r="F164" i="43"/>
  <c r="U164" i="43"/>
  <c r="C164" i="43"/>
  <c r="M164" i="43" s="1"/>
  <c r="P234" i="43" s="1"/>
  <c r="Q234" i="43" s="1"/>
  <c r="R234" i="43" s="1"/>
  <c r="F191" i="43"/>
  <c r="F163" i="43"/>
  <c r="U163" i="43"/>
  <c r="C163" i="43"/>
  <c r="M163" i="43" s="1"/>
  <c r="P233" i="43" s="1"/>
  <c r="Q233" i="43" s="1"/>
  <c r="R233" i="43" s="1"/>
  <c r="F157" i="43"/>
  <c r="U157" i="43"/>
  <c r="C157" i="43"/>
  <c r="M157" i="43" s="1"/>
  <c r="P227" i="43" s="1"/>
  <c r="Q227" i="43" s="1"/>
  <c r="R227" i="43" s="1"/>
  <c r="F185" i="43"/>
  <c r="F166" i="43"/>
  <c r="F194" i="43"/>
  <c r="U166" i="43"/>
  <c r="C166" i="43"/>
  <c r="M166" i="43" s="1"/>
  <c r="P236" i="43" s="1"/>
  <c r="Q236" i="43" s="1"/>
  <c r="R236" i="43" s="1"/>
  <c r="U159" i="43"/>
  <c r="C159" i="43"/>
  <c r="M159" i="43" s="1"/>
  <c r="P229" i="43" s="1"/>
  <c r="Q229" i="43" s="1"/>
  <c r="R229" i="43" s="1"/>
  <c r="F187" i="43"/>
  <c r="F159" i="43"/>
  <c r="F190" i="43"/>
  <c r="U162" i="43"/>
  <c r="F162" i="43"/>
  <c r="K162" i="43" s="1"/>
  <c r="C162" i="43"/>
  <c r="M162" i="43" s="1"/>
  <c r="P232" i="43" s="1"/>
  <c r="Q232" i="43" s="1"/>
  <c r="R232" i="43" s="1"/>
  <c r="L189" i="43"/>
  <c r="J291" i="43"/>
  <c r="F192" i="42"/>
  <c r="F164" i="42"/>
  <c r="U164" i="42"/>
  <c r="C164" i="42"/>
  <c r="M164" i="42" s="1"/>
  <c r="P234" i="42" s="1"/>
  <c r="Q234" i="42" s="1"/>
  <c r="R234" i="42" s="1"/>
  <c r="N164" i="42"/>
  <c r="O164" i="42" s="1"/>
  <c r="F165" i="42"/>
  <c r="F193" i="42"/>
  <c r="U165" i="42"/>
  <c r="C165" i="42"/>
  <c r="M165" i="42" s="1"/>
  <c r="P235" i="42" s="1"/>
  <c r="Q235" i="42" s="1"/>
  <c r="R235" i="42" s="1"/>
  <c r="L189" i="42"/>
  <c r="J291" i="42"/>
  <c r="P159" i="42"/>
  <c r="Q159" i="42" s="1"/>
  <c r="K159" i="42"/>
  <c r="F190" i="42"/>
  <c r="F162" i="42"/>
  <c r="U162" i="42"/>
  <c r="C162" i="42"/>
  <c r="M162" i="42" s="1"/>
  <c r="P232" i="42" s="1"/>
  <c r="Q232" i="42" s="1"/>
  <c r="R232" i="42" s="1"/>
  <c r="C160" i="42"/>
  <c r="M160" i="42" s="1"/>
  <c r="P230" i="42" s="1"/>
  <c r="Q230" i="42" s="1"/>
  <c r="R230" i="42" s="1"/>
  <c r="F188" i="42"/>
  <c r="U160" i="42"/>
  <c r="F160" i="42"/>
  <c r="F191" i="42"/>
  <c r="F163" i="42"/>
  <c r="U163" i="42"/>
  <c r="C163" i="42"/>
  <c r="M163" i="42" s="1"/>
  <c r="P233" i="42" s="1"/>
  <c r="Q233" i="42" s="1"/>
  <c r="R233" i="42" s="1"/>
  <c r="F166" i="42"/>
  <c r="F194" i="42"/>
  <c r="U166" i="42"/>
  <c r="C166" i="42"/>
  <c r="M166" i="42" s="1"/>
  <c r="P236" i="42" s="1"/>
  <c r="Q236" i="42" s="1"/>
  <c r="R236" i="42" s="1"/>
  <c r="S227" i="42"/>
  <c r="S241" i="42"/>
  <c r="E186" i="42"/>
  <c r="E289" i="42" s="1"/>
  <c r="D186" i="42"/>
  <c r="G289" i="42"/>
  <c r="F228" i="42"/>
  <c r="G228" i="42" s="1"/>
  <c r="H228" i="42" s="1"/>
  <c r="M289" i="42" s="1"/>
  <c r="H186" i="42"/>
  <c r="S243" i="42"/>
  <c r="S229" i="42"/>
  <c r="N159" i="42"/>
  <c r="O159" i="42" s="1"/>
  <c r="G290" i="42"/>
  <c r="F229" i="42"/>
  <c r="G229" i="42" s="1"/>
  <c r="H229" i="42" s="1"/>
  <c r="M290" i="42" s="1"/>
  <c r="E187" i="42"/>
  <c r="E290" i="42" s="1"/>
  <c r="D187" i="42"/>
  <c r="H187" i="42"/>
  <c r="E185" i="42"/>
  <c r="E288" i="42" s="1"/>
  <c r="G288" i="42"/>
  <c r="F227" i="42"/>
  <c r="G227" i="42" s="1"/>
  <c r="H227" i="42" s="1"/>
  <c r="M288" i="42" s="1"/>
  <c r="H185" i="42"/>
  <c r="D185" i="42"/>
  <c r="S231" i="42"/>
  <c r="S245" i="42"/>
  <c r="N157" i="42"/>
  <c r="O157" i="42" s="1"/>
  <c r="P161" i="42"/>
  <c r="Q161" i="42" s="1"/>
  <c r="K161" i="42"/>
  <c r="S242" i="42"/>
  <c r="S228" i="42"/>
  <c r="N161" i="42"/>
  <c r="O161" i="42" s="1"/>
  <c r="P157" i="42"/>
  <c r="Q157" i="42" s="1"/>
  <c r="K157" i="42"/>
  <c r="E189" i="42"/>
  <c r="E292" i="42" s="1"/>
  <c r="D189" i="42"/>
  <c r="G292" i="42"/>
  <c r="F231" i="42"/>
  <c r="G231" i="42" s="1"/>
  <c r="H231" i="42" s="1"/>
  <c r="M292" i="42" s="1"/>
  <c r="H189" i="42"/>
  <c r="P158" i="42"/>
  <c r="Q158" i="42" s="1"/>
  <c r="K158" i="42"/>
  <c r="F157" i="41"/>
  <c r="K157" i="41" s="1"/>
  <c r="U157" i="41"/>
  <c r="G296" i="41"/>
  <c r="K296" i="41" s="1"/>
  <c r="E193" i="41"/>
  <c r="F235" i="41"/>
  <c r="G235" i="41" s="1"/>
  <c r="H235" i="41" s="1"/>
  <c r="M296" i="41" s="1"/>
  <c r="K163" i="41"/>
  <c r="P163" i="41"/>
  <c r="Q163" i="41" s="1"/>
  <c r="J292" i="41"/>
  <c r="L190" i="41"/>
  <c r="F236" i="41"/>
  <c r="G236" i="41" s="1"/>
  <c r="H236" i="41" s="1"/>
  <c r="M297" i="41" s="1"/>
  <c r="G297" i="41"/>
  <c r="K297" i="41" s="1"/>
  <c r="E194" i="41"/>
  <c r="M164" i="41"/>
  <c r="P233" i="41"/>
  <c r="Q233" i="41" s="1"/>
  <c r="R233" i="41" s="1"/>
  <c r="S233" i="41" s="1"/>
  <c r="N163" i="41"/>
  <c r="O163" i="41" s="1"/>
  <c r="F232" i="41"/>
  <c r="G232" i="41" s="1"/>
  <c r="H232" i="41" s="1"/>
  <c r="M293" i="41" s="1"/>
  <c r="G293" i="41"/>
  <c r="K293" i="41" s="1"/>
  <c r="E190" i="41"/>
  <c r="F188" i="41"/>
  <c r="H188" i="41" s="1"/>
  <c r="C160" i="41"/>
  <c r="U160" i="41"/>
  <c r="F189" i="41"/>
  <c r="H189" i="41" s="1"/>
  <c r="C161" i="41"/>
  <c r="U161" i="41"/>
  <c r="E294" i="41"/>
  <c r="M162" i="41"/>
  <c r="G295" i="41"/>
  <c r="K295" i="41" s="1"/>
  <c r="F234" i="41"/>
  <c r="G234" i="41" s="1"/>
  <c r="H234" i="41" s="1"/>
  <c r="M295" i="41" s="1"/>
  <c r="E192" i="41"/>
  <c r="M165" i="41"/>
  <c r="U158" i="41"/>
  <c r="F186" i="41"/>
  <c r="H186" i="41" s="1"/>
  <c r="C158" i="41"/>
  <c r="M166" i="41"/>
  <c r="C159" i="41"/>
  <c r="U159" i="41"/>
  <c r="F187" i="41"/>
  <c r="H187" i="41" s="1"/>
  <c r="F185" i="41"/>
  <c r="H185" i="41" s="1"/>
  <c r="C157" i="41"/>
  <c r="M157" i="41" s="1"/>
  <c r="N157" i="41" s="1"/>
  <c r="L297" i="39"/>
  <c r="P297" i="39" s="1"/>
  <c r="I297" i="39"/>
  <c r="L296" i="39"/>
  <c r="P296" i="39" s="1"/>
  <c r="I296" i="39"/>
  <c r="L295" i="39"/>
  <c r="P295" i="39" s="1"/>
  <c r="I295" i="39"/>
  <c r="L294" i="39"/>
  <c r="P294" i="39" s="1"/>
  <c r="I294" i="39"/>
  <c r="L293" i="39"/>
  <c r="P293" i="39" s="1"/>
  <c r="I293" i="39"/>
  <c r="L292" i="39"/>
  <c r="P292" i="39" s="1"/>
  <c r="I292" i="39"/>
  <c r="L291" i="39"/>
  <c r="P291" i="39" s="1"/>
  <c r="I291" i="39"/>
  <c r="L290" i="39"/>
  <c r="P290" i="39" s="1"/>
  <c r="I290" i="39"/>
  <c r="L289" i="39"/>
  <c r="P289" i="39" s="1"/>
  <c r="I289" i="39"/>
  <c r="L288" i="39"/>
  <c r="P288" i="39" s="1"/>
  <c r="I288" i="39"/>
  <c r="B285" i="39"/>
  <c r="I283" i="39"/>
  <c r="C282" i="39"/>
  <c r="D281" i="39"/>
  <c r="C281" i="39"/>
  <c r="B281" i="39"/>
  <c r="D280" i="39"/>
  <c r="B280" i="39"/>
  <c r="E279" i="39"/>
  <c r="B279" i="39"/>
  <c r="E278" i="39"/>
  <c r="B278" i="39"/>
  <c r="B277" i="39"/>
  <c r="Q266" i="39"/>
  <c r="L266" i="39"/>
  <c r="Q265" i="39"/>
  <c r="L265" i="39"/>
  <c r="Q264" i="39"/>
  <c r="L264" i="39"/>
  <c r="Q263" i="39"/>
  <c r="L263" i="39"/>
  <c r="Q262" i="39"/>
  <c r="L262" i="39"/>
  <c r="Q261" i="39"/>
  <c r="L261" i="39"/>
  <c r="Q260" i="39"/>
  <c r="L260" i="39"/>
  <c r="Q259" i="39"/>
  <c r="L259" i="39"/>
  <c r="Q258" i="39"/>
  <c r="L258" i="39"/>
  <c r="B258" i="39"/>
  <c r="Q257" i="39"/>
  <c r="L257" i="39"/>
  <c r="B257" i="39"/>
  <c r="M257" i="39" s="1"/>
  <c r="B256" i="39"/>
  <c r="R250" i="39"/>
  <c r="R249" i="39"/>
  <c r="R248" i="39"/>
  <c r="R247" i="39"/>
  <c r="R246" i="39"/>
  <c r="R245" i="39"/>
  <c r="R244" i="39"/>
  <c r="R243" i="39"/>
  <c r="R242" i="39"/>
  <c r="R241" i="39"/>
  <c r="L236" i="39"/>
  <c r="L235" i="39"/>
  <c r="L234" i="39"/>
  <c r="L233" i="39"/>
  <c r="L232" i="39"/>
  <c r="L231" i="39"/>
  <c r="L230" i="39"/>
  <c r="L229" i="39"/>
  <c r="L228" i="39"/>
  <c r="B228" i="39"/>
  <c r="L227" i="39"/>
  <c r="B227" i="39"/>
  <c r="M227" i="39" s="1"/>
  <c r="B226" i="39"/>
  <c r="H205" i="39"/>
  <c r="I212" i="39" s="1"/>
  <c r="M212" i="39" s="1"/>
  <c r="Q203" i="39"/>
  <c r="R203" i="39" s="1"/>
  <c r="G194" i="39"/>
  <c r="F266" i="39" s="1"/>
  <c r="G266" i="39" s="1"/>
  <c r="G193" i="39"/>
  <c r="G192" i="39"/>
  <c r="H295" i="39" s="1"/>
  <c r="G191" i="39"/>
  <c r="G190" i="39"/>
  <c r="F262" i="39" s="1"/>
  <c r="G262" i="39" s="1"/>
  <c r="G189" i="39"/>
  <c r="G188" i="39"/>
  <c r="H291" i="39" s="1"/>
  <c r="G187" i="39"/>
  <c r="J186" i="39"/>
  <c r="J187" i="39" s="1"/>
  <c r="J188" i="39" s="1"/>
  <c r="J189" i="39" s="1"/>
  <c r="J190" i="39" s="1"/>
  <c r="J191" i="39" s="1"/>
  <c r="J192" i="39" s="1"/>
  <c r="J193" i="39" s="1"/>
  <c r="J194" i="39" s="1"/>
  <c r="G186" i="39"/>
  <c r="L185" i="39"/>
  <c r="J288" i="39" s="1"/>
  <c r="G185" i="39"/>
  <c r="H288" i="39" s="1"/>
  <c r="G166" i="39"/>
  <c r="H166" i="39" s="1"/>
  <c r="G165" i="39"/>
  <c r="H165" i="39" s="1"/>
  <c r="G164" i="39"/>
  <c r="H164" i="39" s="1"/>
  <c r="G163" i="39"/>
  <c r="H163" i="39" s="1"/>
  <c r="G162" i="39"/>
  <c r="H162" i="39" s="1"/>
  <c r="G161" i="39"/>
  <c r="H161" i="39" s="1"/>
  <c r="G160" i="39"/>
  <c r="H160" i="39" s="1"/>
  <c r="G159" i="39"/>
  <c r="H159" i="39" s="1"/>
  <c r="G158" i="39"/>
  <c r="H158" i="39" s="1"/>
  <c r="G157" i="39"/>
  <c r="H157" i="39" s="1"/>
  <c r="H182" i="39"/>
  <c r="J153" i="39"/>
  <c r="J143" i="39"/>
  <c r="D143" i="39"/>
  <c r="J142" i="39"/>
  <c r="D142" i="39"/>
  <c r="J141" i="39"/>
  <c r="D141" i="39"/>
  <c r="J140" i="39"/>
  <c r="D140" i="39"/>
  <c r="J139" i="39"/>
  <c r="D139" i="39"/>
  <c r="F129" i="39" s="1"/>
  <c r="J138" i="39"/>
  <c r="D138" i="39"/>
  <c r="E145" i="39" s="1"/>
  <c r="J137" i="39"/>
  <c r="D137" i="39"/>
  <c r="J136" i="39"/>
  <c r="D136" i="39"/>
  <c r="J135" i="39"/>
  <c r="D135" i="39"/>
  <c r="J134" i="39"/>
  <c r="D134" i="39"/>
  <c r="E117" i="39"/>
  <c r="E116" i="39"/>
  <c r="E115" i="39"/>
  <c r="E114" i="39"/>
  <c r="E113" i="39"/>
  <c r="E112" i="39"/>
  <c r="E111" i="39"/>
  <c r="E110" i="39"/>
  <c r="E109" i="39"/>
  <c r="H70" i="39"/>
  <c r="R70" i="39" s="1"/>
  <c r="G70" i="39"/>
  <c r="Q70" i="39" s="1"/>
  <c r="F70" i="39"/>
  <c r="P70" i="39" s="1"/>
  <c r="E70" i="39"/>
  <c r="O70" i="39" s="1"/>
  <c r="D70" i="39"/>
  <c r="N70" i="39" s="1"/>
  <c r="H69" i="39"/>
  <c r="R69" i="39" s="1"/>
  <c r="G69" i="39"/>
  <c r="Q69" i="39" s="1"/>
  <c r="F69" i="39"/>
  <c r="P69" i="39" s="1"/>
  <c r="E69" i="39"/>
  <c r="O69" i="39" s="1"/>
  <c r="D69" i="39"/>
  <c r="N69" i="39" s="1"/>
  <c r="H68" i="39"/>
  <c r="R68" i="39" s="1"/>
  <c r="G68" i="39"/>
  <c r="Q68" i="39" s="1"/>
  <c r="F68" i="39"/>
  <c r="P68" i="39" s="1"/>
  <c r="E68" i="39"/>
  <c r="O68" i="39" s="1"/>
  <c r="D68" i="39"/>
  <c r="N68" i="39" s="1"/>
  <c r="H67" i="39"/>
  <c r="R67" i="39" s="1"/>
  <c r="G67" i="39"/>
  <c r="Q67" i="39" s="1"/>
  <c r="F67" i="39"/>
  <c r="P67" i="39" s="1"/>
  <c r="E67" i="39"/>
  <c r="O67" i="39" s="1"/>
  <c r="D67" i="39"/>
  <c r="N67" i="39" s="1"/>
  <c r="H66" i="39"/>
  <c r="R66" i="39" s="1"/>
  <c r="G66" i="39"/>
  <c r="Q66" i="39" s="1"/>
  <c r="F66" i="39"/>
  <c r="P66" i="39" s="1"/>
  <c r="E66" i="39"/>
  <c r="O66" i="39" s="1"/>
  <c r="D66" i="39"/>
  <c r="N66" i="39" s="1"/>
  <c r="H65" i="39"/>
  <c r="R65" i="39" s="1"/>
  <c r="G65" i="39"/>
  <c r="Q65" i="39" s="1"/>
  <c r="F65" i="39"/>
  <c r="P65" i="39" s="1"/>
  <c r="E65" i="39"/>
  <c r="O65" i="39" s="1"/>
  <c r="D65" i="39"/>
  <c r="N65" i="39" s="1"/>
  <c r="H64" i="39"/>
  <c r="R64" i="39" s="1"/>
  <c r="G64" i="39"/>
  <c r="Q64" i="39" s="1"/>
  <c r="F64" i="39"/>
  <c r="P64" i="39" s="1"/>
  <c r="E64" i="39"/>
  <c r="O64" i="39" s="1"/>
  <c r="D64" i="39"/>
  <c r="N64" i="39" s="1"/>
  <c r="H63" i="39"/>
  <c r="R63" i="39" s="1"/>
  <c r="G63" i="39"/>
  <c r="Q63" i="39" s="1"/>
  <c r="F63" i="39"/>
  <c r="P63" i="39" s="1"/>
  <c r="E63" i="39"/>
  <c r="O63" i="39" s="1"/>
  <c r="D63" i="39"/>
  <c r="N63" i="39" s="1"/>
  <c r="H62" i="39"/>
  <c r="R62" i="39" s="1"/>
  <c r="G62" i="39"/>
  <c r="Q62" i="39" s="1"/>
  <c r="F62" i="39"/>
  <c r="P62" i="39" s="1"/>
  <c r="E62" i="39"/>
  <c r="O62" i="39" s="1"/>
  <c r="D62" i="39"/>
  <c r="N62" i="39" s="1"/>
  <c r="H61" i="39"/>
  <c r="R61" i="39" s="1"/>
  <c r="G61" i="39"/>
  <c r="Q61" i="39" s="1"/>
  <c r="F61" i="39"/>
  <c r="P61" i="39" s="1"/>
  <c r="E61" i="39"/>
  <c r="O61" i="39" s="1"/>
  <c r="D61" i="39"/>
  <c r="N61" i="39" s="1"/>
  <c r="E39" i="39"/>
  <c r="E38" i="39"/>
  <c r="E37" i="39"/>
  <c r="E36" i="39"/>
  <c r="E35" i="39"/>
  <c r="E34" i="39"/>
  <c r="E33" i="39"/>
  <c r="E32" i="39"/>
  <c r="E31" i="39"/>
  <c r="E30" i="39"/>
  <c r="C20" i="39"/>
  <c r="Q10" i="39"/>
  <c r="P10" i="39"/>
  <c r="C295" i="52" l="1"/>
  <c r="P212" i="52"/>
  <c r="Q212" i="52" s="1"/>
  <c r="R212" i="52" s="1"/>
  <c r="F291" i="52"/>
  <c r="K291" i="52"/>
  <c r="F296" i="52"/>
  <c r="K296" i="52"/>
  <c r="P211" i="52"/>
  <c r="Q211" i="52" s="1"/>
  <c r="R211" i="52" s="1"/>
  <c r="C294" i="52"/>
  <c r="F297" i="52"/>
  <c r="K297" i="52"/>
  <c r="F288" i="52"/>
  <c r="K288" i="52"/>
  <c r="D288" i="52"/>
  <c r="R185" i="52"/>
  <c r="C185" i="52"/>
  <c r="C194" i="52"/>
  <c r="R194" i="52"/>
  <c r="D297" i="52"/>
  <c r="F293" i="52"/>
  <c r="K293" i="52"/>
  <c r="C190" i="52"/>
  <c r="D293" i="52"/>
  <c r="R190" i="52"/>
  <c r="C187" i="52"/>
  <c r="D290" i="52"/>
  <c r="R187" i="52"/>
  <c r="P209" i="52"/>
  <c r="Q209" i="52" s="1"/>
  <c r="R209" i="52" s="1"/>
  <c r="C292" i="52"/>
  <c r="R193" i="52"/>
  <c r="D296" i="52"/>
  <c r="C193" i="52"/>
  <c r="D291" i="52"/>
  <c r="C188" i="52"/>
  <c r="R188" i="52"/>
  <c r="F290" i="52"/>
  <c r="K290" i="52"/>
  <c r="C289" i="52"/>
  <c r="P206" i="52"/>
  <c r="Q206" i="52" s="1"/>
  <c r="R206" i="52" s="1"/>
  <c r="D295" i="51"/>
  <c r="C192" i="51"/>
  <c r="R192" i="51"/>
  <c r="P205" i="51"/>
  <c r="Q205" i="51" s="1"/>
  <c r="R205" i="51" s="1"/>
  <c r="C288" i="51"/>
  <c r="F294" i="51"/>
  <c r="K294" i="51"/>
  <c r="P214" i="51"/>
  <c r="Q214" i="51" s="1"/>
  <c r="R214" i="51" s="1"/>
  <c r="C297" i="51"/>
  <c r="P208" i="51"/>
  <c r="Q208" i="51" s="1"/>
  <c r="R208" i="51" s="1"/>
  <c r="C291" i="51"/>
  <c r="F295" i="51"/>
  <c r="K295" i="51"/>
  <c r="D294" i="51"/>
  <c r="C191" i="51"/>
  <c r="R191" i="51"/>
  <c r="R193" i="51"/>
  <c r="D296" i="51"/>
  <c r="C193" i="51"/>
  <c r="F293" i="51"/>
  <c r="K293" i="51"/>
  <c r="P209" i="51"/>
  <c r="Q209" i="51" s="1"/>
  <c r="R209" i="51" s="1"/>
  <c r="C292" i="51"/>
  <c r="F296" i="51"/>
  <c r="K296" i="51"/>
  <c r="P207" i="51"/>
  <c r="Q207" i="51" s="1"/>
  <c r="R207" i="51" s="1"/>
  <c r="C290" i="51"/>
  <c r="C190" i="51"/>
  <c r="R190" i="51"/>
  <c r="D293" i="51"/>
  <c r="D291" i="50"/>
  <c r="C188" i="50"/>
  <c r="R188" i="50"/>
  <c r="F289" i="50"/>
  <c r="K289" i="50"/>
  <c r="P211" i="50"/>
  <c r="Q211" i="50" s="1"/>
  <c r="R211" i="50" s="1"/>
  <c r="C294" i="50"/>
  <c r="P207" i="50"/>
  <c r="Q207" i="50" s="1"/>
  <c r="R207" i="50" s="1"/>
  <c r="C290" i="50"/>
  <c r="D288" i="50"/>
  <c r="R185" i="50"/>
  <c r="C185" i="50"/>
  <c r="F297" i="50"/>
  <c r="K297" i="50"/>
  <c r="F288" i="50"/>
  <c r="K288" i="50"/>
  <c r="C194" i="50"/>
  <c r="R194" i="50"/>
  <c r="D297" i="50"/>
  <c r="D295" i="50"/>
  <c r="C192" i="50"/>
  <c r="R192" i="50"/>
  <c r="P213" i="50"/>
  <c r="Q213" i="50" s="1"/>
  <c r="R213" i="50" s="1"/>
  <c r="C296" i="50"/>
  <c r="F293" i="50"/>
  <c r="K293" i="50"/>
  <c r="F295" i="50"/>
  <c r="K295" i="50"/>
  <c r="P209" i="50"/>
  <c r="Q209" i="50" s="1"/>
  <c r="R209" i="50" s="1"/>
  <c r="C292" i="50"/>
  <c r="F291" i="50"/>
  <c r="K291" i="50"/>
  <c r="C190" i="50"/>
  <c r="R190" i="50"/>
  <c r="D293" i="50"/>
  <c r="C186" i="50"/>
  <c r="D289" i="50"/>
  <c r="R186" i="50"/>
  <c r="D295" i="49"/>
  <c r="R192" i="49"/>
  <c r="C192" i="49"/>
  <c r="F295" i="49"/>
  <c r="K295" i="49"/>
  <c r="D288" i="49"/>
  <c r="R185" i="49"/>
  <c r="C185" i="49"/>
  <c r="F294" i="49"/>
  <c r="K294" i="49"/>
  <c r="P208" i="49"/>
  <c r="Q208" i="49" s="1"/>
  <c r="R208" i="49" s="1"/>
  <c r="C291" i="49"/>
  <c r="P213" i="49"/>
  <c r="Q213" i="49" s="1"/>
  <c r="R213" i="49" s="1"/>
  <c r="C296" i="49"/>
  <c r="F293" i="49"/>
  <c r="K293" i="49"/>
  <c r="C289" i="49"/>
  <c r="P206" i="49"/>
  <c r="Q206" i="49" s="1"/>
  <c r="R206" i="49" s="1"/>
  <c r="F288" i="49"/>
  <c r="K288" i="49"/>
  <c r="C292" i="49"/>
  <c r="P209" i="49"/>
  <c r="Q209" i="49" s="1"/>
  <c r="R209" i="49" s="1"/>
  <c r="P207" i="49"/>
  <c r="Q207" i="49" s="1"/>
  <c r="R207" i="49" s="1"/>
  <c r="C290" i="49"/>
  <c r="C190" i="49"/>
  <c r="R190" i="49"/>
  <c r="D293" i="49"/>
  <c r="F297" i="49"/>
  <c r="K297" i="49"/>
  <c r="C194" i="49"/>
  <c r="R194" i="49"/>
  <c r="D297" i="49"/>
  <c r="D294" i="49"/>
  <c r="C191" i="49"/>
  <c r="R191" i="49"/>
  <c r="P211" i="48"/>
  <c r="Q211" i="48" s="1"/>
  <c r="R211" i="48" s="1"/>
  <c r="C294" i="48"/>
  <c r="P207" i="48"/>
  <c r="Q207" i="48" s="1"/>
  <c r="R207" i="48" s="1"/>
  <c r="C290" i="48"/>
  <c r="P214" i="48"/>
  <c r="Q214" i="48" s="1"/>
  <c r="R214" i="48" s="1"/>
  <c r="C297" i="48"/>
  <c r="P205" i="48"/>
  <c r="Q205" i="48" s="1"/>
  <c r="R205" i="48" s="1"/>
  <c r="C288" i="48"/>
  <c r="P213" i="48"/>
  <c r="Q213" i="48" s="1"/>
  <c r="R213" i="48" s="1"/>
  <c r="C296" i="48"/>
  <c r="P208" i="48"/>
  <c r="Q208" i="48" s="1"/>
  <c r="R208" i="48" s="1"/>
  <c r="C291" i="48"/>
  <c r="P209" i="48"/>
  <c r="Q209" i="48" s="1"/>
  <c r="R209" i="48" s="1"/>
  <c r="C292" i="48"/>
  <c r="C293" i="48"/>
  <c r="P210" i="48"/>
  <c r="Q210" i="48" s="1"/>
  <c r="R210" i="48" s="1"/>
  <c r="N159" i="47"/>
  <c r="O159" i="47" s="1"/>
  <c r="N160" i="47"/>
  <c r="O160" i="47" s="1"/>
  <c r="N164" i="47"/>
  <c r="O164" i="47" s="1"/>
  <c r="S242" i="47"/>
  <c r="S228" i="47"/>
  <c r="D294" i="47"/>
  <c r="C191" i="47"/>
  <c r="R191" i="47"/>
  <c r="G289" i="47"/>
  <c r="H186" i="47"/>
  <c r="F228" i="47"/>
  <c r="G228" i="47" s="1"/>
  <c r="H228" i="47" s="1"/>
  <c r="M289" i="47" s="1"/>
  <c r="E186" i="47"/>
  <c r="E289" i="47" s="1"/>
  <c r="D186" i="47"/>
  <c r="N158" i="47"/>
  <c r="O158" i="47" s="1"/>
  <c r="G291" i="47"/>
  <c r="E188" i="47"/>
  <c r="E291" i="47" s="1"/>
  <c r="D188" i="47"/>
  <c r="F230" i="47"/>
  <c r="G230" i="47" s="1"/>
  <c r="H230" i="47" s="1"/>
  <c r="M291" i="47" s="1"/>
  <c r="H188" i="47"/>
  <c r="F297" i="47"/>
  <c r="K297" i="47"/>
  <c r="D288" i="47"/>
  <c r="C185" i="47"/>
  <c r="R185" i="47"/>
  <c r="R192" i="47"/>
  <c r="D295" i="47"/>
  <c r="C192" i="47"/>
  <c r="C194" i="47"/>
  <c r="R194" i="47"/>
  <c r="D297" i="47"/>
  <c r="R193" i="47"/>
  <c r="D296" i="47"/>
  <c r="C193" i="47"/>
  <c r="F292" i="47"/>
  <c r="K292" i="47"/>
  <c r="F288" i="47"/>
  <c r="K288" i="47"/>
  <c r="F296" i="47"/>
  <c r="K296" i="47"/>
  <c r="K158" i="47"/>
  <c r="P158" i="47"/>
  <c r="Q158" i="47" s="1"/>
  <c r="R189" i="47"/>
  <c r="D292" i="47"/>
  <c r="C189" i="47"/>
  <c r="F295" i="47"/>
  <c r="K295" i="47"/>
  <c r="F294" i="47"/>
  <c r="K294" i="47"/>
  <c r="F293" i="47"/>
  <c r="K293" i="47"/>
  <c r="C190" i="47"/>
  <c r="R190" i="47"/>
  <c r="D293" i="47"/>
  <c r="S243" i="47"/>
  <c r="S229" i="47"/>
  <c r="S230" i="47"/>
  <c r="S244" i="47"/>
  <c r="K159" i="47"/>
  <c r="P159" i="47"/>
  <c r="Q159" i="47" s="1"/>
  <c r="K160" i="47"/>
  <c r="P160" i="47"/>
  <c r="Q160" i="47" s="1"/>
  <c r="G290" i="47"/>
  <c r="H187" i="47"/>
  <c r="F229" i="47"/>
  <c r="G229" i="47" s="1"/>
  <c r="H229" i="47" s="1"/>
  <c r="M290" i="47" s="1"/>
  <c r="E187" i="47"/>
  <c r="E290" i="47" s="1"/>
  <c r="D187" i="47"/>
  <c r="S243" i="46"/>
  <c r="F229" i="46"/>
  <c r="G229" i="46" s="1"/>
  <c r="H229" i="46" s="1"/>
  <c r="M290" i="46" s="1"/>
  <c r="G290" i="46"/>
  <c r="D187" i="46"/>
  <c r="C187" i="46" s="1"/>
  <c r="P159" i="46"/>
  <c r="Q159" i="46" s="1"/>
  <c r="E186" i="46"/>
  <c r="E289" i="46" s="1"/>
  <c r="F228" i="46"/>
  <c r="G228" i="46" s="1"/>
  <c r="H228" i="46" s="1"/>
  <c r="M289" i="46" s="1"/>
  <c r="G289" i="46"/>
  <c r="F289" i="46" s="1"/>
  <c r="S228" i="46"/>
  <c r="N158" i="46"/>
  <c r="O158" i="46" s="1"/>
  <c r="D186" i="46"/>
  <c r="R186" i="46" s="1"/>
  <c r="N165" i="46"/>
  <c r="O165" i="46" s="1"/>
  <c r="P227" i="46"/>
  <c r="Q227" i="46" s="1"/>
  <c r="R227" i="46" s="1"/>
  <c r="N157" i="46"/>
  <c r="O157" i="46" s="1"/>
  <c r="H185" i="46"/>
  <c r="G288" i="46"/>
  <c r="E288" i="46"/>
  <c r="F227" i="46"/>
  <c r="G227" i="46" s="1"/>
  <c r="H227" i="46" s="1"/>
  <c r="M288" i="46" s="1"/>
  <c r="K157" i="46"/>
  <c r="P157" i="46"/>
  <c r="Q157" i="46" s="1"/>
  <c r="S250" i="46"/>
  <c r="S236" i="46"/>
  <c r="F292" i="46"/>
  <c r="K292" i="46"/>
  <c r="F291" i="46"/>
  <c r="K291" i="46"/>
  <c r="P166" i="46"/>
  <c r="Q166" i="46" s="1"/>
  <c r="K166" i="46"/>
  <c r="R189" i="46"/>
  <c r="C189" i="46"/>
  <c r="D292" i="46"/>
  <c r="C188" i="46"/>
  <c r="D291" i="46"/>
  <c r="R188" i="46"/>
  <c r="E191" i="46"/>
  <c r="E294" i="46" s="1"/>
  <c r="D191" i="46"/>
  <c r="G294" i="46"/>
  <c r="F233" i="46"/>
  <c r="G233" i="46" s="1"/>
  <c r="H233" i="46" s="1"/>
  <c r="M294" i="46" s="1"/>
  <c r="H191" i="46"/>
  <c r="S234" i="46"/>
  <c r="S248" i="46"/>
  <c r="F232" i="46"/>
  <c r="G232" i="46" s="1"/>
  <c r="H232" i="46" s="1"/>
  <c r="M293" i="46" s="1"/>
  <c r="H190" i="46"/>
  <c r="G293" i="46"/>
  <c r="E190" i="46"/>
  <c r="E293" i="46" s="1"/>
  <c r="D190" i="46"/>
  <c r="P164" i="46"/>
  <c r="Q164" i="46" s="1"/>
  <c r="K164" i="46"/>
  <c r="S232" i="46"/>
  <c r="S246" i="46"/>
  <c r="N164" i="46"/>
  <c r="O164" i="46" s="1"/>
  <c r="K162" i="46"/>
  <c r="P162" i="46"/>
  <c r="Q162" i="46" s="1"/>
  <c r="G296" i="46"/>
  <c r="E193" i="46"/>
  <c r="E296" i="46" s="1"/>
  <c r="F235" i="46"/>
  <c r="G235" i="46" s="1"/>
  <c r="H235" i="46" s="1"/>
  <c r="M296" i="46" s="1"/>
  <c r="H193" i="46"/>
  <c r="G295" i="46"/>
  <c r="F234" i="46"/>
  <c r="G234" i="46" s="1"/>
  <c r="H234" i="46" s="1"/>
  <c r="M295" i="46" s="1"/>
  <c r="E192" i="46"/>
  <c r="E295" i="46" s="1"/>
  <c r="H192" i="46"/>
  <c r="N162" i="46"/>
  <c r="O162" i="46" s="1"/>
  <c r="S235" i="46"/>
  <c r="S249" i="46"/>
  <c r="S233" i="46"/>
  <c r="S247" i="46"/>
  <c r="P165" i="46"/>
  <c r="Q165" i="46" s="1"/>
  <c r="K165" i="46"/>
  <c r="P163" i="46"/>
  <c r="Q163" i="46" s="1"/>
  <c r="K163" i="46"/>
  <c r="F236" i="46"/>
  <c r="G236" i="46" s="1"/>
  <c r="H236" i="46" s="1"/>
  <c r="M297" i="46" s="1"/>
  <c r="G297" i="46"/>
  <c r="E194" i="46"/>
  <c r="E297" i="46" s="1"/>
  <c r="H194" i="46"/>
  <c r="N163" i="46"/>
  <c r="O163" i="46" s="1"/>
  <c r="F290" i="46"/>
  <c r="K290" i="46"/>
  <c r="K289" i="46"/>
  <c r="J293" i="46"/>
  <c r="N166" i="46"/>
  <c r="O166" i="46" s="1"/>
  <c r="S231" i="45"/>
  <c r="S245" i="45"/>
  <c r="S229" i="45"/>
  <c r="S243" i="45"/>
  <c r="N158" i="45"/>
  <c r="O158" i="45" s="1"/>
  <c r="F231" i="45"/>
  <c r="G231" i="45" s="1"/>
  <c r="H231" i="45" s="1"/>
  <c r="M292" i="45" s="1"/>
  <c r="H189" i="45"/>
  <c r="E189" i="45"/>
  <c r="E292" i="45" s="1"/>
  <c r="D189" i="45"/>
  <c r="G292" i="45"/>
  <c r="K293" i="45"/>
  <c r="K161" i="45"/>
  <c r="P161" i="45"/>
  <c r="Q161" i="45" s="1"/>
  <c r="N160" i="45"/>
  <c r="O160" i="45" s="1"/>
  <c r="K296" i="45"/>
  <c r="S230" i="45"/>
  <c r="S244" i="45"/>
  <c r="K160" i="45"/>
  <c r="P160" i="45"/>
  <c r="Q160" i="45" s="1"/>
  <c r="G289" i="45"/>
  <c r="F228" i="45"/>
  <c r="G228" i="45" s="1"/>
  <c r="H228" i="45" s="1"/>
  <c r="M289" i="45" s="1"/>
  <c r="E186" i="45"/>
  <c r="E289" i="45" s="1"/>
  <c r="D186" i="45"/>
  <c r="H186" i="45"/>
  <c r="E188" i="45"/>
  <c r="E291" i="45" s="1"/>
  <c r="D188" i="45"/>
  <c r="G291" i="45"/>
  <c r="F230" i="45"/>
  <c r="G230" i="45" s="1"/>
  <c r="H230" i="45" s="1"/>
  <c r="M291" i="45" s="1"/>
  <c r="H188" i="45"/>
  <c r="N161" i="45"/>
  <c r="O161" i="45" s="1"/>
  <c r="K297" i="45"/>
  <c r="K294" i="45"/>
  <c r="K295" i="45"/>
  <c r="S227" i="45"/>
  <c r="S241" i="45"/>
  <c r="J293" i="45"/>
  <c r="F293" i="45" s="1"/>
  <c r="L191" i="45"/>
  <c r="D187" i="45"/>
  <c r="G290" i="45"/>
  <c r="E187" i="45"/>
  <c r="E290" i="45" s="1"/>
  <c r="F229" i="45"/>
  <c r="G229" i="45" s="1"/>
  <c r="H229" i="45" s="1"/>
  <c r="M290" i="45" s="1"/>
  <c r="H187" i="45"/>
  <c r="N157" i="45"/>
  <c r="O157" i="45" s="1"/>
  <c r="P157" i="45"/>
  <c r="Q157" i="45" s="1"/>
  <c r="K157" i="45"/>
  <c r="K159" i="45"/>
  <c r="P159" i="45"/>
  <c r="Q159" i="45" s="1"/>
  <c r="S242" i="45"/>
  <c r="S228" i="45"/>
  <c r="N159" i="45"/>
  <c r="O159" i="45" s="1"/>
  <c r="H185" i="45"/>
  <c r="E185" i="45"/>
  <c r="E288" i="45" s="1"/>
  <c r="D185" i="45"/>
  <c r="G288" i="45"/>
  <c r="F227" i="45"/>
  <c r="G227" i="45" s="1"/>
  <c r="H227" i="45" s="1"/>
  <c r="M288" i="45" s="1"/>
  <c r="P158" i="45"/>
  <c r="Q158" i="45" s="1"/>
  <c r="K158" i="45"/>
  <c r="D190" i="45"/>
  <c r="N166" i="42"/>
  <c r="O166" i="42" s="1"/>
  <c r="F127" i="39"/>
  <c r="N165" i="42"/>
  <c r="O165" i="42" s="1"/>
  <c r="N164" i="43"/>
  <c r="O164" i="43" s="1"/>
  <c r="N163" i="42"/>
  <c r="O163" i="42" s="1"/>
  <c r="N160" i="42"/>
  <c r="O160" i="42" s="1"/>
  <c r="N158" i="43"/>
  <c r="O158" i="43" s="1"/>
  <c r="N159" i="43"/>
  <c r="O159" i="43" s="1"/>
  <c r="N160" i="43"/>
  <c r="O160" i="43" s="1"/>
  <c r="N161" i="43"/>
  <c r="O161" i="43" s="1"/>
  <c r="S250" i="43"/>
  <c r="S236" i="43"/>
  <c r="H194" i="43"/>
  <c r="F236" i="43"/>
  <c r="G236" i="43" s="1"/>
  <c r="H236" i="43" s="1"/>
  <c r="M297" i="43" s="1"/>
  <c r="E194" i="43"/>
  <c r="E297" i="43" s="1"/>
  <c r="G297" i="43"/>
  <c r="F235" i="43"/>
  <c r="G235" i="43" s="1"/>
  <c r="H235" i="43" s="1"/>
  <c r="M296" i="43" s="1"/>
  <c r="H193" i="43"/>
  <c r="E193" i="43"/>
  <c r="E296" i="43" s="1"/>
  <c r="G296" i="43"/>
  <c r="P166" i="43"/>
  <c r="Q166" i="43" s="1"/>
  <c r="K166" i="43"/>
  <c r="S234" i="43"/>
  <c r="S248" i="43"/>
  <c r="K165" i="43"/>
  <c r="P165" i="43"/>
  <c r="Q165" i="43" s="1"/>
  <c r="J292" i="43"/>
  <c r="L190" i="43"/>
  <c r="P162" i="43"/>
  <c r="Q162" i="43" s="1"/>
  <c r="P158" i="43"/>
  <c r="Q158" i="43" s="1"/>
  <c r="K158" i="43"/>
  <c r="G293" i="43"/>
  <c r="H190" i="43"/>
  <c r="E190" i="43"/>
  <c r="E293" i="43" s="1"/>
  <c r="F232" i="43"/>
  <c r="G232" i="43" s="1"/>
  <c r="H232" i="43" s="1"/>
  <c r="M293" i="43" s="1"/>
  <c r="E185" i="43"/>
  <c r="E288" i="43" s="1"/>
  <c r="F227" i="43"/>
  <c r="G227" i="43" s="1"/>
  <c r="H227" i="43" s="1"/>
  <c r="M288" i="43" s="1"/>
  <c r="D185" i="43"/>
  <c r="C185" i="43" s="1"/>
  <c r="G288" i="43"/>
  <c r="H185" i="43"/>
  <c r="N165" i="43"/>
  <c r="O165" i="43" s="1"/>
  <c r="N162" i="43"/>
  <c r="O162" i="43" s="1"/>
  <c r="N157" i="43"/>
  <c r="O157" i="43" s="1"/>
  <c r="K164" i="43"/>
  <c r="P164" i="43"/>
  <c r="Q164" i="43" s="1"/>
  <c r="S231" i="43"/>
  <c r="S245" i="43"/>
  <c r="P159" i="43"/>
  <c r="Q159" i="43" s="1"/>
  <c r="K159" i="43"/>
  <c r="S227" i="43"/>
  <c r="S241" i="43"/>
  <c r="F234" i="43"/>
  <c r="G234" i="43" s="1"/>
  <c r="H234" i="43" s="1"/>
  <c r="M295" i="43" s="1"/>
  <c r="G295" i="43"/>
  <c r="E192" i="43"/>
  <c r="E295" i="43" s="1"/>
  <c r="H192" i="43"/>
  <c r="H187" i="43"/>
  <c r="G290" i="43"/>
  <c r="F229" i="43"/>
  <c r="G229" i="43" s="1"/>
  <c r="H229" i="43" s="1"/>
  <c r="M290" i="43" s="1"/>
  <c r="E187" i="43"/>
  <c r="E290" i="43" s="1"/>
  <c r="D187" i="43"/>
  <c r="K157" i="43"/>
  <c r="P157" i="43"/>
  <c r="Q157" i="43" s="1"/>
  <c r="P160" i="43"/>
  <c r="Q160" i="43" s="1"/>
  <c r="K160" i="43"/>
  <c r="P161" i="43"/>
  <c r="Q161" i="43" s="1"/>
  <c r="K161" i="43"/>
  <c r="E191" i="43"/>
  <c r="E294" i="43" s="1"/>
  <c r="G294" i="43"/>
  <c r="F233" i="43"/>
  <c r="G233" i="43" s="1"/>
  <c r="H233" i="43" s="1"/>
  <c r="M294" i="43" s="1"/>
  <c r="H191" i="43"/>
  <c r="S233" i="43"/>
  <c r="S247" i="43"/>
  <c r="H189" i="43"/>
  <c r="G292" i="43"/>
  <c r="E189" i="43"/>
  <c r="E292" i="43" s="1"/>
  <c r="D189" i="43"/>
  <c r="F231" i="43"/>
  <c r="G231" i="43" s="1"/>
  <c r="H231" i="43" s="1"/>
  <c r="M292" i="43" s="1"/>
  <c r="S244" i="43"/>
  <c r="S230" i="43"/>
  <c r="S229" i="43"/>
  <c r="S243" i="43"/>
  <c r="H188" i="43"/>
  <c r="G291" i="43"/>
  <c r="E188" i="43"/>
  <c r="E291" i="43" s="1"/>
  <c r="D188" i="43"/>
  <c r="F230" i="43"/>
  <c r="G230" i="43" s="1"/>
  <c r="H230" i="43" s="1"/>
  <c r="M291" i="43" s="1"/>
  <c r="N166" i="43"/>
  <c r="O166" i="43" s="1"/>
  <c r="P163" i="43"/>
  <c r="Q163" i="43" s="1"/>
  <c r="K163" i="43"/>
  <c r="S228" i="43"/>
  <c r="S242" i="43"/>
  <c r="S235" i="43"/>
  <c r="S249" i="43"/>
  <c r="S232" i="43"/>
  <c r="S246" i="43"/>
  <c r="N163" i="43"/>
  <c r="O163" i="43" s="1"/>
  <c r="F228" i="43"/>
  <c r="G228" i="43" s="1"/>
  <c r="H228" i="43" s="1"/>
  <c r="M289" i="43" s="1"/>
  <c r="E186" i="43"/>
  <c r="E289" i="43" s="1"/>
  <c r="D186" i="43"/>
  <c r="G289" i="43"/>
  <c r="H186" i="43"/>
  <c r="G291" i="42"/>
  <c r="E188" i="42"/>
  <c r="E291" i="42" s="1"/>
  <c r="D188" i="42"/>
  <c r="F230" i="42"/>
  <c r="G230" i="42" s="1"/>
  <c r="H230" i="42" s="1"/>
  <c r="M291" i="42" s="1"/>
  <c r="H188" i="42"/>
  <c r="C186" i="42"/>
  <c r="R186" i="42"/>
  <c r="D289" i="42"/>
  <c r="H191" i="42"/>
  <c r="E191" i="42"/>
  <c r="E294" i="42" s="1"/>
  <c r="G294" i="42"/>
  <c r="F233" i="42"/>
  <c r="G233" i="42" s="1"/>
  <c r="H233" i="42" s="1"/>
  <c r="M294" i="42" s="1"/>
  <c r="K164" i="42"/>
  <c r="P164" i="42"/>
  <c r="Q164" i="42" s="1"/>
  <c r="C187" i="42"/>
  <c r="D290" i="42"/>
  <c r="R187" i="42"/>
  <c r="P160" i="42"/>
  <c r="Q160" i="42" s="1"/>
  <c r="K160" i="42"/>
  <c r="H192" i="42"/>
  <c r="E192" i="42"/>
  <c r="E295" i="42" s="1"/>
  <c r="F234" i="42"/>
  <c r="G234" i="42" s="1"/>
  <c r="H234" i="42" s="1"/>
  <c r="M295" i="42" s="1"/>
  <c r="G295" i="42"/>
  <c r="J292" i="42"/>
  <c r="L190" i="42"/>
  <c r="F290" i="42"/>
  <c r="K290" i="42"/>
  <c r="S249" i="42"/>
  <c r="S235" i="42"/>
  <c r="S232" i="42"/>
  <c r="S246" i="42"/>
  <c r="C185" i="42"/>
  <c r="R185" i="42"/>
  <c r="D288" i="42"/>
  <c r="P165" i="42"/>
  <c r="Q165" i="42" s="1"/>
  <c r="K165" i="42"/>
  <c r="S236" i="42"/>
  <c r="S250" i="42"/>
  <c r="S230" i="42"/>
  <c r="S244" i="42"/>
  <c r="F292" i="42"/>
  <c r="K292" i="42"/>
  <c r="F235" i="42"/>
  <c r="G235" i="42" s="1"/>
  <c r="H235" i="42" s="1"/>
  <c r="M296" i="42" s="1"/>
  <c r="H193" i="42"/>
  <c r="E193" i="42"/>
  <c r="E296" i="42" s="1"/>
  <c r="G296" i="42"/>
  <c r="D292" i="42"/>
  <c r="C189" i="42"/>
  <c r="R189" i="42"/>
  <c r="K166" i="42"/>
  <c r="P166" i="42"/>
  <c r="Q166" i="42" s="1"/>
  <c r="S233" i="42"/>
  <c r="S247" i="42"/>
  <c r="P162" i="42"/>
  <c r="Q162" i="42" s="1"/>
  <c r="K162" i="42"/>
  <c r="G293" i="42"/>
  <c r="H190" i="42"/>
  <c r="E190" i="42"/>
  <c r="E293" i="42" s="1"/>
  <c r="F232" i="42"/>
  <c r="G232" i="42" s="1"/>
  <c r="H232" i="42" s="1"/>
  <c r="M293" i="42" s="1"/>
  <c r="S248" i="42"/>
  <c r="S234" i="42"/>
  <c r="H194" i="42"/>
  <c r="F236" i="42"/>
  <c r="G236" i="42" s="1"/>
  <c r="H236" i="42" s="1"/>
  <c r="M297" i="42" s="1"/>
  <c r="E194" i="42"/>
  <c r="E297" i="42" s="1"/>
  <c r="G297" i="42"/>
  <c r="F288" i="42"/>
  <c r="K288" i="42"/>
  <c r="F289" i="42"/>
  <c r="K289" i="42"/>
  <c r="K163" i="42"/>
  <c r="P163" i="42"/>
  <c r="Q163" i="42" s="1"/>
  <c r="N162" i="42"/>
  <c r="O162" i="42" s="1"/>
  <c r="P232" i="41"/>
  <c r="Q232" i="41" s="1"/>
  <c r="R232" i="41" s="1"/>
  <c r="S232" i="41" s="1"/>
  <c r="N162" i="41"/>
  <c r="O162" i="41" s="1"/>
  <c r="S247" i="41"/>
  <c r="M159" i="41"/>
  <c r="P164" i="41"/>
  <c r="Q164" i="41" s="1"/>
  <c r="K164" i="41"/>
  <c r="P236" i="41"/>
  <c r="Q236" i="41" s="1"/>
  <c r="R236" i="41" s="1"/>
  <c r="S236" i="41" s="1"/>
  <c r="N166" i="41"/>
  <c r="O166" i="41" s="1"/>
  <c r="P234" i="41"/>
  <c r="Q234" i="41" s="1"/>
  <c r="R234" i="41" s="1"/>
  <c r="S234" i="41" s="1"/>
  <c r="N164" i="41"/>
  <c r="O164" i="41" s="1"/>
  <c r="P166" i="41"/>
  <c r="Q166" i="41" s="1"/>
  <c r="E297" i="41"/>
  <c r="M158" i="41"/>
  <c r="M161" i="41"/>
  <c r="G289" i="41"/>
  <c r="F228" i="41"/>
  <c r="G228" i="41" s="1"/>
  <c r="H228" i="41" s="1"/>
  <c r="M289" i="41" s="1"/>
  <c r="E186" i="41"/>
  <c r="D186" i="41"/>
  <c r="F231" i="41"/>
  <c r="G231" i="41" s="1"/>
  <c r="H231" i="41" s="1"/>
  <c r="M292" i="41" s="1"/>
  <c r="E189" i="41"/>
  <c r="D189" i="41"/>
  <c r="G292" i="41"/>
  <c r="J293" i="41"/>
  <c r="F293" i="41" s="1"/>
  <c r="L191" i="41"/>
  <c r="P162" i="41"/>
  <c r="Q162" i="41" s="1"/>
  <c r="K162" i="41"/>
  <c r="P235" i="41"/>
  <c r="Q235" i="41" s="1"/>
  <c r="R235" i="41" s="1"/>
  <c r="S235" i="41" s="1"/>
  <c r="N165" i="41"/>
  <c r="O165" i="41" s="1"/>
  <c r="M160" i="41"/>
  <c r="K165" i="41"/>
  <c r="P165" i="41"/>
  <c r="Q165" i="41" s="1"/>
  <c r="E188" i="41"/>
  <c r="D188" i="41"/>
  <c r="G291" i="41"/>
  <c r="F230" i="41"/>
  <c r="G230" i="41" s="1"/>
  <c r="H230" i="41" s="1"/>
  <c r="M291" i="41" s="1"/>
  <c r="D190" i="41"/>
  <c r="E185" i="41"/>
  <c r="D185" i="41"/>
  <c r="G288" i="41"/>
  <c r="F227" i="41"/>
  <c r="G227" i="41" s="1"/>
  <c r="H227" i="41" s="1"/>
  <c r="M288" i="41" s="1"/>
  <c r="E295" i="41"/>
  <c r="E293" i="41"/>
  <c r="E296" i="41"/>
  <c r="D187" i="41"/>
  <c r="G290" i="41"/>
  <c r="F229" i="41"/>
  <c r="G229" i="41" s="1"/>
  <c r="H229" i="41" s="1"/>
  <c r="M290" i="41" s="1"/>
  <c r="E187" i="41"/>
  <c r="D145" i="39"/>
  <c r="F260" i="39"/>
  <c r="G260" i="39" s="1"/>
  <c r="H260" i="39" s="1"/>
  <c r="N291" i="39" s="1"/>
  <c r="N265" i="39"/>
  <c r="O265" i="39" s="1"/>
  <c r="R265" i="39" s="1"/>
  <c r="H262" i="39"/>
  <c r="N293" i="39" s="1"/>
  <c r="H266" i="39"/>
  <c r="N297" i="39" s="1"/>
  <c r="N261" i="39"/>
  <c r="O261" i="39" s="1"/>
  <c r="R261" i="39" s="1"/>
  <c r="F257" i="39"/>
  <c r="G257" i="39" s="1"/>
  <c r="H257" i="39" s="1"/>
  <c r="N288" i="39" s="1"/>
  <c r="N236" i="39"/>
  <c r="O236" i="39" s="1"/>
  <c r="N234" i="39"/>
  <c r="O234" i="39" s="1"/>
  <c r="N232" i="39"/>
  <c r="O232" i="39" s="1"/>
  <c r="N230" i="39"/>
  <c r="O230" i="39" s="1"/>
  <c r="N228" i="39"/>
  <c r="O228" i="39" s="1"/>
  <c r="N235" i="39"/>
  <c r="O235" i="39" s="1"/>
  <c r="N233" i="39"/>
  <c r="O233" i="39" s="1"/>
  <c r="N231" i="39"/>
  <c r="O231" i="39" s="1"/>
  <c r="N229" i="39"/>
  <c r="O229" i="39" s="1"/>
  <c r="F128" i="39"/>
  <c r="F126" i="39"/>
  <c r="D20" i="39"/>
  <c r="E128" i="39"/>
  <c r="E126" i="39"/>
  <c r="E127" i="39"/>
  <c r="E129" i="39"/>
  <c r="H289" i="39"/>
  <c r="S186" i="39"/>
  <c r="F258" i="39"/>
  <c r="G258" i="39" s="1"/>
  <c r="H258" i="39" s="1"/>
  <c r="N289" i="39" s="1"/>
  <c r="H290" i="39"/>
  <c r="F259" i="39"/>
  <c r="G259" i="39" s="1"/>
  <c r="H259" i="39" s="1"/>
  <c r="N290" i="39" s="1"/>
  <c r="S187" i="39"/>
  <c r="H294" i="39"/>
  <c r="F263" i="39"/>
  <c r="G263" i="39" s="1"/>
  <c r="H263" i="39" s="1"/>
  <c r="N294" i="39" s="1"/>
  <c r="S191" i="39"/>
  <c r="H292" i="39"/>
  <c r="F261" i="39"/>
  <c r="G261" i="39" s="1"/>
  <c r="H261" i="39" s="1"/>
  <c r="N292" i="39" s="1"/>
  <c r="S189" i="39"/>
  <c r="H296" i="39"/>
  <c r="F265" i="39"/>
  <c r="G265" i="39" s="1"/>
  <c r="H265" i="39" s="1"/>
  <c r="N296" i="39" s="1"/>
  <c r="S193" i="39"/>
  <c r="H293" i="39"/>
  <c r="S190" i="39"/>
  <c r="S194" i="39"/>
  <c r="H297" i="39"/>
  <c r="N257" i="39"/>
  <c r="O257" i="39" s="1"/>
  <c r="R257" i="39" s="1"/>
  <c r="N264" i="39"/>
  <c r="O264" i="39" s="1"/>
  <c r="R264" i="39" s="1"/>
  <c r="N260" i="39"/>
  <c r="O260" i="39" s="1"/>
  <c r="R260" i="39" s="1"/>
  <c r="N266" i="39"/>
  <c r="O266" i="39" s="1"/>
  <c r="R266" i="39" s="1"/>
  <c r="N262" i="39"/>
  <c r="O262" i="39" s="1"/>
  <c r="R262" i="39" s="1"/>
  <c r="N258" i="39"/>
  <c r="O258" i="39" s="1"/>
  <c r="R258" i="39" s="1"/>
  <c r="N263" i="39"/>
  <c r="O263" i="39" s="1"/>
  <c r="R263" i="39" s="1"/>
  <c r="S225" i="39"/>
  <c r="H284" i="39"/>
  <c r="L186" i="39"/>
  <c r="S188" i="39"/>
  <c r="S192" i="39"/>
  <c r="I211" i="39"/>
  <c r="M211" i="39" s="1"/>
  <c r="I207" i="39"/>
  <c r="M207" i="39" s="1"/>
  <c r="I213" i="39"/>
  <c r="M213" i="39" s="1"/>
  <c r="I209" i="39"/>
  <c r="M209" i="39" s="1"/>
  <c r="I205" i="39"/>
  <c r="M205" i="39" s="1"/>
  <c r="I214" i="39"/>
  <c r="M214" i="39" s="1"/>
  <c r="I206" i="39"/>
  <c r="M206" i="39" s="1"/>
  <c r="I210" i="39"/>
  <c r="M210" i="39" s="1"/>
  <c r="I208" i="39"/>
  <c r="M208" i="39" s="1"/>
  <c r="N227" i="39"/>
  <c r="O227" i="39" s="1"/>
  <c r="N259" i="39"/>
  <c r="O259" i="39" s="1"/>
  <c r="R259" i="39" s="1"/>
  <c r="F264" i="39"/>
  <c r="G264" i="39" s="1"/>
  <c r="H264" i="39" s="1"/>
  <c r="N295" i="39" s="1"/>
  <c r="S185" i="39"/>
  <c r="P67" i="38"/>
  <c r="T68" i="38"/>
  <c r="T67" i="38"/>
  <c r="T66" i="38"/>
  <c r="T65" i="38"/>
  <c r="T64" i="38"/>
  <c r="T63" i="38"/>
  <c r="T62" i="38"/>
  <c r="T61" i="38"/>
  <c r="T60" i="38"/>
  <c r="T59" i="38"/>
  <c r="R68" i="38"/>
  <c r="R67" i="38"/>
  <c r="R66" i="38"/>
  <c r="R65" i="38"/>
  <c r="R64" i="38"/>
  <c r="R63" i="38"/>
  <c r="R62" i="38"/>
  <c r="R61" i="38"/>
  <c r="R60" i="38"/>
  <c r="R59" i="38"/>
  <c r="P68" i="38"/>
  <c r="P66" i="38"/>
  <c r="P65" i="38"/>
  <c r="P64" i="38"/>
  <c r="P63" i="38"/>
  <c r="P62" i="38"/>
  <c r="P61" i="38"/>
  <c r="P60" i="38"/>
  <c r="P59" i="38"/>
  <c r="N68" i="38"/>
  <c r="N67" i="38"/>
  <c r="N66" i="38"/>
  <c r="N65" i="38"/>
  <c r="N64" i="38"/>
  <c r="N63" i="38"/>
  <c r="N62" i="38"/>
  <c r="N61" i="38"/>
  <c r="N60" i="38"/>
  <c r="N59" i="38"/>
  <c r="L65" i="38"/>
  <c r="L68" i="38"/>
  <c r="L67" i="38"/>
  <c r="L66" i="38"/>
  <c r="L64" i="38"/>
  <c r="L63" i="38"/>
  <c r="L62" i="38"/>
  <c r="L60" i="38"/>
  <c r="L61" i="38"/>
  <c r="L59" i="38"/>
  <c r="P205" i="52" l="1"/>
  <c r="Q205" i="52" s="1"/>
  <c r="R205" i="52" s="1"/>
  <c r="C288" i="52"/>
  <c r="P214" i="52"/>
  <c r="Q214" i="52" s="1"/>
  <c r="R214" i="52" s="1"/>
  <c r="C297" i="52"/>
  <c r="P207" i="52"/>
  <c r="Q207" i="52" s="1"/>
  <c r="R207" i="52" s="1"/>
  <c r="C290" i="52"/>
  <c r="P213" i="52"/>
  <c r="Q213" i="52" s="1"/>
  <c r="R213" i="52" s="1"/>
  <c r="C296" i="52"/>
  <c r="C293" i="52"/>
  <c r="P210" i="52"/>
  <c r="Q210" i="52" s="1"/>
  <c r="R210" i="52" s="1"/>
  <c r="P208" i="52"/>
  <c r="Q208" i="52" s="1"/>
  <c r="R208" i="52" s="1"/>
  <c r="C291" i="52"/>
  <c r="P211" i="51"/>
  <c r="Q211" i="51" s="1"/>
  <c r="R211" i="51" s="1"/>
  <c r="C294" i="51"/>
  <c r="C293" i="51"/>
  <c r="P210" i="51"/>
  <c r="Q210" i="51" s="1"/>
  <c r="R210" i="51" s="1"/>
  <c r="P213" i="51"/>
  <c r="Q213" i="51" s="1"/>
  <c r="R213" i="51" s="1"/>
  <c r="C296" i="51"/>
  <c r="C295" i="51"/>
  <c r="P212" i="51"/>
  <c r="Q212" i="51" s="1"/>
  <c r="R212" i="51" s="1"/>
  <c r="P205" i="50"/>
  <c r="Q205" i="50" s="1"/>
  <c r="R205" i="50" s="1"/>
  <c r="C288" i="50"/>
  <c r="C295" i="50"/>
  <c r="P212" i="50"/>
  <c r="Q212" i="50" s="1"/>
  <c r="R212" i="50" s="1"/>
  <c r="C289" i="50"/>
  <c r="P206" i="50"/>
  <c r="Q206" i="50" s="1"/>
  <c r="R206" i="50" s="1"/>
  <c r="P208" i="50"/>
  <c r="Q208" i="50" s="1"/>
  <c r="R208" i="50" s="1"/>
  <c r="C291" i="50"/>
  <c r="C293" i="50"/>
  <c r="P210" i="50"/>
  <c r="Q210" i="50" s="1"/>
  <c r="R210" i="50" s="1"/>
  <c r="P214" i="50"/>
  <c r="Q214" i="50" s="1"/>
  <c r="R214" i="50" s="1"/>
  <c r="C297" i="50"/>
  <c r="P214" i="49"/>
  <c r="Q214" i="49" s="1"/>
  <c r="R214" i="49" s="1"/>
  <c r="C297" i="49"/>
  <c r="C293" i="49"/>
  <c r="P210" i="49"/>
  <c r="Q210" i="49" s="1"/>
  <c r="R210" i="49" s="1"/>
  <c r="P205" i="49"/>
  <c r="Q205" i="49" s="1"/>
  <c r="R205" i="49" s="1"/>
  <c r="C288" i="49"/>
  <c r="P211" i="49"/>
  <c r="Q211" i="49" s="1"/>
  <c r="R211" i="49" s="1"/>
  <c r="C294" i="49"/>
  <c r="C295" i="49"/>
  <c r="P212" i="49"/>
  <c r="Q212" i="49" s="1"/>
  <c r="R212" i="49" s="1"/>
  <c r="P213" i="47"/>
  <c r="Q213" i="47" s="1"/>
  <c r="R213" i="47" s="1"/>
  <c r="C296" i="47"/>
  <c r="R188" i="47"/>
  <c r="D291" i="47"/>
  <c r="C188" i="47"/>
  <c r="F291" i="47"/>
  <c r="K291" i="47"/>
  <c r="D289" i="47"/>
  <c r="C186" i="47"/>
  <c r="R186" i="47"/>
  <c r="P209" i="47"/>
  <c r="Q209" i="47" s="1"/>
  <c r="R209" i="47" s="1"/>
  <c r="C292" i="47"/>
  <c r="C295" i="47"/>
  <c r="P212" i="47"/>
  <c r="Q212" i="47" s="1"/>
  <c r="R212" i="47" s="1"/>
  <c r="C293" i="47"/>
  <c r="P210" i="47"/>
  <c r="Q210" i="47" s="1"/>
  <c r="R210" i="47" s="1"/>
  <c r="P214" i="47"/>
  <c r="Q214" i="47" s="1"/>
  <c r="R214" i="47" s="1"/>
  <c r="C297" i="47"/>
  <c r="F289" i="47"/>
  <c r="K289" i="47"/>
  <c r="P205" i="47"/>
  <c r="Q205" i="47" s="1"/>
  <c r="R205" i="47" s="1"/>
  <c r="C288" i="47"/>
  <c r="P211" i="47"/>
  <c r="Q211" i="47" s="1"/>
  <c r="R211" i="47" s="1"/>
  <c r="C294" i="47"/>
  <c r="D290" i="47"/>
  <c r="C187" i="47"/>
  <c r="R187" i="47"/>
  <c r="F290" i="47"/>
  <c r="K290" i="47"/>
  <c r="R187" i="46"/>
  <c r="D290" i="46"/>
  <c r="D289" i="46"/>
  <c r="C186" i="46"/>
  <c r="P206" i="46" s="1"/>
  <c r="Q206" i="46" s="1"/>
  <c r="R206" i="46" s="1"/>
  <c r="F288" i="46"/>
  <c r="K288" i="46"/>
  <c r="C185" i="46"/>
  <c r="D288" i="46"/>
  <c r="R185" i="46"/>
  <c r="S241" i="46"/>
  <c r="S227" i="46"/>
  <c r="P208" i="46"/>
  <c r="Q208" i="46" s="1"/>
  <c r="R208" i="46" s="1"/>
  <c r="C291" i="46"/>
  <c r="R190" i="46"/>
  <c r="C190" i="46"/>
  <c r="D293" i="46"/>
  <c r="P209" i="46"/>
  <c r="Q209" i="46" s="1"/>
  <c r="R209" i="46" s="1"/>
  <c r="C292" i="46"/>
  <c r="K297" i="46"/>
  <c r="F293" i="46"/>
  <c r="K293" i="46"/>
  <c r="D294" i="46"/>
  <c r="C191" i="46"/>
  <c r="R191" i="46"/>
  <c r="P207" i="46"/>
  <c r="Q207" i="46" s="1"/>
  <c r="R207" i="46" s="1"/>
  <c r="C290" i="46"/>
  <c r="K295" i="46"/>
  <c r="J294" i="46"/>
  <c r="F294" i="46" s="1"/>
  <c r="K296" i="46"/>
  <c r="K294" i="46"/>
  <c r="F290" i="45"/>
  <c r="K290" i="45"/>
  <c r="C188" i="45"/>
  <c r="D291" i="45"/>
  <c r="R188" i="45"/>
  <c r="F288" i="45"/>
  <c r="K288" i="45"/>
  <c r="C187" i="45"/>
  <c r="D290" i="45"/>
  <c r="R187" i="45"/>
  <c r="D289" i="45"/>
  <c r="R186" i="45"/>
  <c r="C186" i="45"/>
  <c r="R189" i="45"/>
  <c r="C189" i="45"/>
  <c r="D292" i="45"/>
  <c r="R190" i="45"/>
  <c r="D293" i="45"/>
  <c r="C190" i="45"/>
  <c r="J294" i="45"/>
  <c r="F294" i="45" s="1"/>
  <c r="L192" i="45"/>
  <c r="D191" i="45"/>
  <c r="F289" i="45"/>
  <c r="K289" i="45"/>
  <c r="F291" i="45"/>
  <c r="K291" i="45"/>
  <c r="D288" i="45"/>
  <c r="C185" i="45"/>
  <c r="R185" i="45"/>
  <c r="F292" i="45"/>
  <c r="K292" i="45"/>
  <c r="K293" i="43"/>
  <c r="F289" i="43"/>
  <c r="K289" i="43"/>
  <c r="D292" i="43"/>
  <c r="C189" i="43"/>
  <c r="R189" i="43"/>
  <c r="K296" i="43"/>
  <c r="C186" i="43"/>
  <c r="D289" i="43"/>
  <c r="R186" i="43"/>
  <c r="D291" i="43"/>
  <c r="C188" i="43"/>
  <c r="R188" i="43"/>
  <c r="F288" i="43"/>
  <c r="K288" i="43"/>
  <c r="P205" i="43"/>
  <c r="R185" i="43"/>
  <c r="D288" i="43"/>
  <c r="J293" i="43"/>
  <c r="F293" i="43" s="1"/>
  <c r="L191" i="43"/>
  <c r="F292" i="43"/>
  <c r="K292" i="43"/>
  <c r="F291" i="43"/>
  <c r="K291" i="43"/>
  <c r="C187" i="43"/>
  <c r="D290" i="43"/>
  <c r="R187" i="43"/>
  <c r="K297" i="43"/>
  <c r="K295" i="43"/>
  <c r="K294" i="43"/>
  <c r="F290" i="43"/>
  <c r="K290" i="43"/>
  <c r="D190" i="43"/>
  <c r="K297" i="42"/>
  <c r="P205" i="42"/>
  <c r="Q205" i="42" s="1"/>
  <c r="R205" i="42" s="1"/>
  <c r="C288" i="42"/>
  <c r="K294" i="42"/>
  <c r="F291" i="42"/>
  <c r="K291" i="42"/>
  <c r="K295" i="42"/>
  <c r="K293" i="42"/>
  <c r="C289" i="42"/>
  <c r="P206" i="42"/>
  <c r="Q206" i="42" s="1"/>
  <c r="R206" i="42" s="1"/>
  <c r="K296" i="42"/>
  <c r="C292" i="42"/>
  <c r="P209" i="42"/>
  <c r="Q209" i="42" s="1"/>
  <c r="R209" i="42" s="1"/>
  <c r="J293" i="42"/>
  <c r="F293" i="42" s="1"/>
  <c r="L191" i="42"/>
  <c r="D291" i="42"/>
  <c r="C188" i="42"/>
  <c r="R188" i="42"/>
  <c r="P207" i="42"/>
  <c r="Q207" i="42" s="1"/>
  <c r="R207" i="42" s="1"/>
  <c r="C290" i="42"/>
  <c r="D190" i="42"/>
  <c r="F290" i="41"/>
  <c r="K290" i="41"/>
  <c r="F292" i="41"/>
  <c r="K292" i="41"/>
  <c r="F289" i="41"/>
  <c r="K289" i="41"/>
  <c r="F288" i="41"/>
  <c r="K288" i="41"/>
  <c r="F291" i="41"/>
  <c r="K291" i="41"/>
  <c r="J294" i="41"/>
  <c r="F294" i="41" s="1"/>
  <c r="L192" i="41"/>
  <c r="D191" i="41"/>
  <c r="P227" i="41"/>
  <c r="Q227" i="41" s="1"/>
  <c r="R227" i="41" s="1"/>
  <c r="S227" i="41" s="1"/>
  <c r="O157" i="41"/>
  <c r="S248" i="41"/>
  <c r="S250" i="41"/>
  <c r="E290" i="41"/>
  <c r="E292" i="41"/>
  <c r="E291" i="41"/>
  <c r="E289" i="41"/>
  <c r="R190" i="41"/>
  <c r="D293" i="41"/>
  <c r="C190" i="41"/>
  <c r="K159" i="41"/>
  <c r="P159" i="41"/>
  <c r="Q159" i="41" s="1"/>
  <c r="P230" i="41"/>
  <c r="Q230" i="41" s="1"/>
  <c r="R230" i="41" s="1"/>
  <c r="S230" i="41" s="1"/>
  <c r="N160" i="41"/>
  <c r="O160" i="41" s="1"/>
  <c r="P229" i="41"/>
  <c r="Q229" i="41" s="1"/>
  <c r="R229" i="41" s="1"/>
  <c r="S229" i="41" s="1"/>
  <c r="N159" i="41"/>
  <c r="O159" i="41" s="1"/>
  <c r="R189" i="41"/>
  <c r="C189" i="41"/>
  <c r="D292" i="41"/>
  <c r="C187" i="41"/>
  <c r="D290" i="41"/>
  <c r="R187" i="41"/>
  <c r="P160" i="41"/>
  <c r="Q160" i="41" s="1"/>
  <c r="K160" i="41"/>
  <c r="P231" i="41"/>
  <c r="Q231" i="41" s="1"/>
  <c r="R231" i="41" s="1"/>
  <c r="S231" i="41" s="1"/>
  <c r="N161" i="41"/>
  <c r="O161" i="41" s="1"/>
  <c r="C188" i="41"/>
  <c r="D291" i="41"/>
  <c r="R188" i="41"/>
  <c r="P161" i="41"/>
  <c r="Q161" i="41" s="1"/>
  <c r="K161" i="41"/>
  <c r="D288" i="41"/>
  <c r="C185" i="41"/>
  <c r="R185" i="41"/>
  <c r="S249" i="41"/>
  <c r="P158" i="41"/>
  <c r="Q158" i="41" s="1"/>
  <c r="K158" i="41"/>
  <c r="E288" i="41"/>
  <c r="P157" i="41"/>
  <c r="Q157" i="41" s="1"/>
  <c r="D289" i="41"/>
  <c r="R186" i="41"/>
  <c r="C186" i="41"/>
  <c r="P228" i="41"/>
  <c r="Q228" i="41" s="1"/>
  <c r="R228" i="41" s="1"/>
  <c r="S228" i="41" s="1"/>
  <c r="N158" i="41"/>
  <c r="O158" i="41" s="1"/>
  <c r="S246" i="41"/>
  <c r="E138" i="39"/>
  <c r="I138" i="39" s="1"/>
  <c r="E134" i="39"/>
  <c r="I134" i="39" s="1"/>
  <c r="E137" i="39"/>
  <c r="I137" i="39" s="1"/>
  <c r="E136" i="39"/>
  <c r="I136" i="39" s="1"/>
  <c r="E135" i="39"/>
  <c r="I135" i="39" s="1"/>
  <c r="J289" i="39"/>
  <c r="L187" i="39"/>
  <c r="F142" i="39"/>
  <c r="I142" i="39" s="1"/>
  <c r="F141" i="39"/>
  <c r="I141" i="39" s="1"/>
  <c r="F140" i="39"/>
  <c r="I140" i="39" s="1"/>
  <c r="F139" i="39"/>
  <c r="I139" i="39" s="1"/>
  <c r="F143" i="39"/>
  <c r="I143" i="39" s="1"/>
  <c r="C289" i="47" l="1"/>
  <c r="P206" i="47"/>
  <c r="Q206" i="47" s="1"/>
  <c r="R206" i="47" s="1"/>
  <c r="P207" i="47"/>
  <c r="Q207" i="47" s="1"/>
  <c r="R207" i="47" s="1"/>
  <c r="C290" i="47"/>
  <c r="P208" i="47"/>
  <c r="Q208" i="47" s="1"/>
  <c r="R208" i="47" s="1"/>
  <c r="C291" i="47"/>
  <c r="C289" i="46"/>
  <c r="P205" i="46"/>
  <c r="Q205" i="46" s="1"/>
  <c r="R205" i="46" s="1"/>
  <c r="C288" i="46"/>
  <c r="P211" i="46"/>
  <c r="Q211" i="46" s="1"/>
  <c r="R211" i="46" s="1"/>
  <c r="C294" i="46"/>
  <c r="J295" i="46"/>
  <c r="F295" i="46" s="1"/>
  <c r="D192" i="46"/>
  <c r="C293" i="46"/>
  <c r="P210" i="46"/>
  <c r="Q210" i="46" s="1"/>
  <c r="R210" i="46" s="1"/>
  <c r="P209" i="45"/>
  <c r="Q209" i="45" s="1"/>
  <c r="R209" i="45" s="1"/>
  <c r="C292" i="45"/>
  <c r="C289" i="45"/>
  <c r="P206" i="45"/>
  <c r="Q206" i="45" s="1"/>
  <c r="R206" i="45" s="1"/>
  <c r="P207" i="45"/>
  <c r="Q207" i="45" s="1"/>
  <c r="R207" i="45" s="1"/>
  <c r="C290" i="45"/>
  <c r="P205" i="45"/>
  <c r="Q205" i="45" s="1"/>
  <c r="R205" i="45" s="1"/>
  <c r="C288" i="45"/>
  <c r="D294" i="45"/>
  <c r="C191" i="45"/>
  <c r="R191" i="45"/>
  <c r="L193" i="45"/>
  <c r="J295" i="45"/>
  <c r="F295" i="45" s="1"/>
  <c r="D192" i="45"/>
  <c r="C293" i="45"/>
  <c r="P210" i="45"/>
  <c r="Q210" i="45" s="1"/>
  <c r="R210" i="45" s="1"/>
  <c r="P208" i="45"/>
  <c r="Q208" i="45" s="1"/>
  <c r="R208" i="45" s="1"/>
  <c r="C291" i="45"/>
  <c r="J294" i="43"/>
  <c r="F294" i="43" s="1"/>
  <c r="L192" i="43"/>
  <c r="D191" i="43"/>
  <c r="C289" i="43"/>
  <c r="P206" i="43"/>
  <c r="Q206" i="43" s="1"/>
  <c r="R206" i="43" s="1"/>
  <c r="C292" i="43"/>
  <c r="P209" i="43"/>
  <c r="Q209" i="43" s="1"/>
  <c r="R209" i="43" s="1"/>
  <c r="Q205" i="43"/>
  <c r="R205" i="43" s="1"/>
  <c r="C288" i="43"/>
  <c r="P207" i="43"/>
  <c r="Q207" i="43" s="1"/>
  <c r="R207" i="43" s="1"/>
  <c r="C290" i="43"/>
  <c r="D293" i="43"/>
  <c r="C190" i="43"/>
  <c r="R190" i="43"/>
  <c r="P208" i="43"/>
  <c r="Q208" i="43" s="1"/>
  <c r="R208" i="43" s="1"/>
  <c r="C291" i="43"/>
  <c r="C291" i="42"/>
  <c r="P208" i="42"/>
  <c r="Q208" i="42" s="1"/>
  <c r="R208" i="42" s="1"/>
  <c r="J294" i="42"/>
  <c r="F294" i="42" s="1"/>
  <c r="L192" i="42"/>
  <c r="D191" i="42"/>
  <c r="D293" i="42"/>
  <c r="C190" i="42"/>
  <c r="R190" i="42"/>
  <c r="P207" i="41"/>
  <c r="Q207" i="41" s="1"/>
  <c r="R207" i="41" s="1"/>
  <c r="C290" i="41"/>
  <c r="S242" i="41"/>
  <c r="P208" i="41"/>
  <c r="Q208" i="41" s="1"/>
  <c r="R208" i="41" s="1"/>
  <c r="C291" i="41"/>
  <c r="C289" i="41"/>
  <c r="P206" i="41"/>
  <c r="Q206" i="41" s="1"/>
  <c r="R206" i="41" s="1"/>
  <c r="S241" i="41"/>
  <c r="P209" i="41"/>
  <c r="Q209" i="41" s="1"/>
  <c r="R209" i="41" s="1"/>
  <c r="C292" i="41"/>
  <c r="D294" i="41"/>
  <c r="C191" i="41"/>
  <c r="R191" i="41"/>
  <c r="S244" i="41"/>
  <c r="S245" i="41"/>
  <c r="L193" i="41"/>
  <c r="J295" i="41"/>
  <c r="F295" i="41" s="1"/>
  <c r="D192" i="41"/>
  <c r="P205" i="41"/>
  <c r="Q205" i="41" s="1"/>
  <c r="R205" i="41" s="1"/>
  <c r="C288" i="41"/>
  <c r="S243" i="41"/>
  <c r="C293" i="41"/>
  <c r="P210" i="41"/>
  <c r="Q210" i="41" s="1"/>
  <c r="R210" i="41" s="1"/>
  <c r="D164" i="39"/>
  <c r="U164" i="39" s="1"/>
  <c r="K141" i="39"/>
  <c r="K142" i="39"/>
  <c r="D165" i="39"/>
  <c r="U165" i="39" s="1"/>
  <c r="D162" i="39"/>
  <c r="U162" i="39" s="1"/>
  <c r="K139" i="39"/>
  <c r="J290" i="39"/>
  <c r="L188" i="39"/>
  <c r="D158" i="39"/>
  <c r="U158" i="39" s="1"/>
  <c r="K135" i="39"/>
  <c r="K138" i="39"/>
  <c r="D161" i="39"/>
  <c r="U161" i="39" s="1"/>
  <c r="D160" i="39"/>
  <c r="U160" i="39" s="1"/>
  <c r="K137" i="39"/>
  <c r="D166" i="39"/>
  <c r="U166" i="39" s="1"/>
  <c r="K143" i="39"/>
  <c r="K134" i="39"/>
  <c r="D157" i="39"/>
  <c r="K140" i="39"/>
  <c r="D163" i="39"/>
  <c r="U163" i="39" s="1"/>
  <c r="D159" i="39"/>
  <c r="U159" i="39" s="1"/>
  <c r="K136" i="39"/>
  <c r="R241" i="33"/>
  <c r="L297" i="38"/>
  <c r="P297" i="38" s="1"/>
  <c r="I297" i="38"/>
  <c r="L296" i="38"/>
  <c r="P296" i="38" s="1"/>
  <c r="I296" i="38"/>
  <c r="L295" i="38"/>
  <c r="P295" i="38" s="1"/>
  <c r="I295" i="38"/>
  <c r="L294" i="38"/>
  <c r="P294" i="38" s="1"/>
  <c r="I294" i="38"/>
  <c r="L293" i="38"/>
  <c r="P293" i="38" s="1"/>
  <c r="I293" i="38"/>
  <c r="L292" i="38"/>
  <c r="P292" i="38" s="1"/>
  <c r="I292" i="38"/>
  <c r="L291" i="38"/>
  <c r="P291" i="38" s="1"/>
  <c r="I291" i="38"/>
  <c r="L290" i="38"/>
  <c r="P290" i="38" s="1"/>
  <c r="I290" i="38"/>
  <c r="L289" i="38"/>
  <c r="P289" i="38" s="1"/>
  <c r="I289" i="38"/>
  <c r="L288" i="38"/>
  <c r="P288" i="38" s="1"/>
  <c r="I288" i="38"/>
  <c r="B285" i="38"/>
  <c r="I283" i="38"/>
  <c r="C282" i="38"/>
  <c r="D281" i="38"/>
  <c r="C281" i="38"/>
  <c r="B281" i="38"/>
  <c r="D280" i="38"/>
  <c r="B280" i="38"/>
  <c r="E279" i="38"/>
  <c r="B279" i="38"/>
  <c r="E278" i="38"/>
  <c r="B278" i="38"/>
  <c r="B277" i="38"/>
  <c r="Q266" i="38"/>
  <c r="L266" i="38"/>
  <c r="Q265" i="38"/>
  <c r="L265" i="38"/>
  <c r="Q264" i="38"/>
  <c r="L264" i="38"/>
  <c r="Q263" i="38"/>
  <c r="L263" i="38"/>
  <c r="Q262" i="38"/>
  <c r="L262" i="38"/>
  <c r="Q261" i="38"/>
  <c r="L261" i="38"/>
  <c r="Q260" i="38"/>
  <c r="L260" i="38"/>
  <c r="Q259" i="38"/>
  <c r="L259" i="38"/>
  <c r="Q258" i="38"/>
  <c r="L258" i="38"/>
  <c r="B258" i="38"/>
  <c r="Q257" i="38"/>
  <c r="L257" i="38"/>
  <c r="B257" i="38"/>
  <c r="M257" i="38" s="1"/>
  <c r="B256" i="38"/>
  <c r="R250" i="38"/>
  <c r="R249" i="38"/>
  <c r="R248" i="38"/>
  <c r="R247" i="38"/>
  <c r="R246" i="38"/>
  <c r="R245" i="38"/>
  <c r="R244" i="38"/>
  <c r="R243" i="38"/>
  <c r="R242" i="38"/>
  <c r="R241" i="38"/>
  <c r="L236" i="38"/>
  <c r="L235" i="38"/>
  <c r="L234" i="38"/>
  <c r="L233" i="38"/>
  <c r="L232" i="38"/>
  <c r="L231" i="38"/>
  <c r="L230" i="38"/>
  <c r="L229" i="38"/>
  <c r="L228" i="38"/>
  <c r="B228" i="38"/>
  <c r="L227" i="38"/>
  <c r="B227" i="38"/>
  <c r="M227" i="38" s="1"/>
  <c r="B226" i="38"/>
  <c r="S225" i="38"/>
  <c r="H205" i="38"/>
  <c r="I207" i="38" s="1"/>
  <c r="M207" i="38" s="1"/>
  <c r="Q203" i="38"/>
  <c r="R203" i="38" s="1"/>
  <c r="I194" i="38"/>
  <c r="G194" i="38"/>
  <c r="I193" i="38"/>
  <c r="G193" i="38"/>
  <c r="I192" i="38"/>
  <c r="G192" i="38"/>
  <c r="I191" i="38"/>
  <c r="G191" i="38"/>
  <c r="H294" i="38" s="1"/>
  <c r="I190" i="38"/>
  <c r="G190" i="38"/>
  <c r="I189" i="38"/>
  <c r="G189" i="38"/>
  <c r="I188" i="38"/>
  <c r="G188" i="38"/>
  <c r="H291" i="38" s="1"/>
  <c r="I187" i="38"/>
  <c r="G187" i="38"/>
  <c r="H290" i="38" s="1"/>
  <c r="J186" i="38"/>
  <c r="J187" i="38" s="1"/>
  <c r="J188" i="38" s="1"/>
  <c r="J189" i="38" s="1"/>
  <c r="J190" i="38" s="1"/>
  <c r="J191" i="38" s="1"/>
  <c r="J192" i="38" s="1"/>
  <c r="J193" i="38" s="1"/>
  <c r="J194" i="38" s="1"/>
  <c r="I186" i="38"/>
  <c r="G186" i="38"/>
  <c r="L185" i="38"/>
  <c r="I185" i="38"/>
  <c r="G185" i="38"/>
  <c r="F257" i="38" s="1"/>
  <c r="I179" i="38"/>
  <c r="G166" i="38"/>
  <c r="H166" i="38" s="1"/>
  <c r="G165" i="38"/>
  <c r="H165" i="38" s="1"/>
  <c r="G164" i="38"/>
  <c r="H164" i="38" s="1"/>
  <c r="G163" i="38"/>
  <c r="H163" i="38" s="1"/>
  <c r="G162" i="38"/>
  <c r="H162" i="38" s="1"/>
  <c r="G161" i="38"/>
  <c r="H161" i="38" s="1"/>
  <c r="G160" i="38"/>
  <c r="H160" i="38" s="1"/>
  <c r="G159" i="38"/>
  <c r="H159" i="38" s="1"/>
  <c r="G158" i="38"/>
  <c r="H158" i="38" s="1"/>
  <c r="G157" i="38"/>
  <c r="H157" i="38" s="1"/>
  <c r="H284" i="38"/>
  <c r="J143" i="38"/>
  <c r="D143" i="38"/>
  <c r="J142" i="38"/>
  <c r="D142" i="38"/>
  <c r="J141" i="38"/>
  <c r="D141" i="38"/>
  <c r="J140" i="38"/>
  <c r="D140" i="38"/>
  <c r="J139" i="38"/>
  <c r="D139" i="38"/>
  <c r="J138" i="38"/>
  <c r="D138" i="38"/>
  <c r="J137" i="38"/>
  <c r="D137" i="38"/>
  <c r="J136" i="38"/>
  <c r="D136" i="38"/>
  <c r="J135" i="38"/>
  <c r="D135" i="38"/>
  <c r="J134" i="38"/>
  <c r="D134" i="38"/>
  <c r="F127" i="38"/>
  <c r="E117" i="38"/>
  <c r="E116" i="38"/>
  <c r="E115" i="38"/>
  <c r="E114" i="38"/>
  <c r="E113" i="38"/>
  <c r="E112" i="38"/>
  <c r="E111" i="38"/>
  <c r="E110" i="38"/>
  <c r="E109" i="38"/>
  <c r="E39" i="38"/>
  <c r="E38" i="38"/>
  <c r="E37" i="38"/>
  <c r="E36" i="38"/>
  <c r="E35" i="38"/>
  <c r="E34" i="38"/>
  <c r="E33" i="38"/>
  <c r="E32" i="38"/>
  <c r="E31" i="38"/>
  <c r="E30" i="38"/>
  <c r="C20" i="38"/>
  <c r="Q10" i="38"/>
  <c r="P10" i="38"/>
  <c r="D295" i="46" l="1"/>
  <c r="C192" i="46"/>
  <c r="R192" i="46"/>
  <c r="J296" i="46"/>
  <c r="F296" i="46" s="1"/>
  <c r="D193" i="46"/>
  <c r="D295" i="45"/>
  <c r="C192" i="45"/>
  <c r="R192" i="45"/>
  <c r="P211" i="45"/>
  <c r="Q211" i="45" s="1"/>
  <c r="R211" i="45" s="1"/>
  <c r="C294" i="45"/>
  <c r="J296" i="45"/>
  <c r="F296" i="45" s="1"/>
  <c r="L194" i="45"/>
  <c r="D193" i="45"/>
  <c r="F129" i="38"/>
  <c r="D294" i="43"/>
  <c r="C191" i="43"/>
  <c r="R191" i="43"/>
  <c r="P210" i="43"/>
  <c r="Q210" i="43" s="1"/>
  <c r="R210" i="43" s="1"/>
  <c r="C293" i="43"/>
  <c r="L193" i="43"/>
  <c r="J295" i="43"/>
  <c r="F295" i="43" s="1"/>
  <c r="D192" i="43"/>
  <c r="P210" i="42"/>
  <c r="Q210" i="42" s="1"/>
  <c r="R210" i="42" s="1"/>
  <c r="C293" i="42"/>
  <c r="D294" i="42"/>
  <c r="C191" i="42"/>
  <c r="R191" i="42"/>
  <c r="L193" i="42"/>
  <c r="J295" i="42"/>
  <c r="F295" i="42" s="1"/>
  <c r="D192" i="42"/>
  <c r="I208" i="38"/>
  <c r="M208" i="38" s="1"/>
  <c r="D295" i="41"/>
  <c r="C192" i="41"/>
  <c r="R192" i="41"/>
  <c r="P211" i="41"/>
  <c r="Q211" i="41" s="1"/>
  <c r="R211" i="41" s="1"/>
  <c r="C294" i="41"/>
  <c r="J296" i="41"/>
  <c r="F296" i="41" s="1"/>
  <c r="L194" i="41"/>
  <c r="D193" i="41"/>
  <c r="F128" i="38"/>
  <c r="N235" i="38"/>
  <c r="O235" i="38" s="1"/>
  <c r="F185" i="39"/>
  <c r="D185" i="39" s="1"/>
  <c r="U157" i="39"/>
  <c r="F191" i="39"/>
  <c r="C163" i="39"/>
  <c r="F189" i="39"/>
  <c r="C161" i="39"/>
  <c r="J291" i="39"/>
  <c r="L189" i="39"/>
  <c r="C157" i="39"/>
  <c r="F193" i="39"/>
  <c r="C165" i="39"/>
  <c r="F194" i="39"/>
  <c r="C166" i="39"/>
  <c r="F187" i="39"/>
  <c r="D187" i="39" s="1"/>
  <c r="C159" i="39"/>
  <c r="F188" i="39"/>
  <c r="D188" i="39" s="1"/>
  <c r="C160" i="39"/>
  <c r="F186" i="39"/>
  <c r="D186" i="39" s="1"/>
  <c r="C158" i="39"/>
  <c r="F190" i="39"/>
  <c r="C162" i="39"/>
  <c r="F192" i="39"/>
  <c r="C164" i="39"/>
  <c r="N258" i="38"/>
  <c r="O258" i="38" s="1"/>
  <c r="R258" i="38" s="1"/>
  <c r="N265" i="38"/>
  <c r="O265" i="38" s="1"/>
  <c r="R265" i="38" s="1"/>
  <c r="N266" i="38"/>
  <c r="O266" i="38" s="1"/>
  <c r="R266" i="38" s="1"/>
  <c r="I214" i="38"/>
  <c r="M214" i="38" s="1"/>
  <c r="N233" i="38"/>
  <c r="O233" i="38" s="1"/>
  <c r="N263" i="38"/>
  <c r="O263" i="38" s="1"/>
  <c r="R263" i="38" s="1"/>
  <c r="I206" i="38"/>
  <c r="M206" i="38" s="1"/>
  <c r="N257" i="38"/>
  <c r="O257" i="38" s="1"/>
  <c r="R257" i="38" s="1"/>
  <c r="N262" i="38"/>
  <c r="O262" i="38" s="1"/>
  <c r="R262" i="38" s="1"/>
  <c r="N264" i="38"/>
  <c r="O264" i="38" s="1"/>
  <c r="R264" i="38" s="1"/>
  <c r="J288" i="38"/>
  <c r="S191" i="38"/>
  <c r="F263" i="38"/>
  <c r="G263" i="38" s="1"/>
  <c r="H263" i="38" s="1"/>
  <c r="N294" i="38" s="1"/>
  <c r="F259" i="38"/>
  <c r="G259" i="38" s="1"/>
  <c r="H259" i="38" s="1"/>
  <c r="N290" i="38" s="1"/>
  <c r="S187" i="38"/>
  <c r="D145" i="38"/>
  <c r="E145" i="38"/>
  <c r="E126" i="38"/>
  <c r="S188" i="38"/>
  <c r="E128" i="38"/>
  <c r="L186" i="38"/>
  <c r="H293" i="38"/>
  <c r="F262" i="38"/>
  <c r="G262" i="38" s="1"/>
  <c r="H262" i="38" s="1"/>
  <c r="N293" i="38" s="1"/>
  <c r="F260" i="38"/>
  <c r="G260" i="38" s="1"/>
  <c r="H260" i="38" s="1"/>
  <c r="N291" i="38" s="1"/>
  <c r="D20" i="38"/>
  <c r="F126" i="38"/>
  <c r="H182" i="38"/>
  <c r="G257" i="38"/>
  <c r="H257" i="38" s="1"/>
  <c r="N288" i="38" s="1"/>
  <c r="H288" i="38"/>
  <c r="S185" i="38"/>
  <c r="S190" i="38"/>
  <c r="I213" i="38"/>
  <c r="M213" i="38" s="1"/>
  <c r="I209" i="38"/>
  <c r="M209" i="38" s="1"/>
  <c r="I205" i="38"/>
  <c r="M205" i="38" s="1"/>
  <c r="I212" i="38"/>
  <c r="M212" i="38" s="1"/>
  <c r="I211" i="38"/>
  <c r="M211" i="38" s="1"/>
  <c r="I210" i="38"/>
  <c r="M210" i="38" s="1"/>
  <c r="N227" i="38"/>
  <c r="O227" i="38" s="1"/>
  <c r="N229" i="38"/>
  <c r="O229" i="38" s="1"/>
  <c r="N231" i="38"/>
  <c r="O231" i="38" s="1"/>
  <c r="N259" i="38"/>
  <c r="O259" i="38" s="1"/>
  <c r="R259" i="38" s="1"/>
  <c r="N260" i="38"/>
  <c r="O260" i="38" s="1"/>
  <c r="R260" i="38" s="1"/>
  <c r="N261" i="38"/>
  <c r="O261" i="38" s="1"/>
  <c r="R261" i="38" s="1"/>
  <c r="H292" i="38"/>
  <c r="S189" i="38"/>
  <c r="F261" i="38"/>
  <c r="G261" i="38" s="1"/>
  <c r="H261" i="38" s="1"/>
  <c r="N292" i="38" s="1"/>
  <c r="H297" i="38"/>
  <c r="S194" i="38"/>
  <c r="F266" i="38"/>
  <c r="G266" i="38" s="1"/>
  <c r="H266" i="38" s="1"/>
  <c r="N297" i="38" s="1"/>
  <c r="H289" i="38"/>
  <c r="F258" i="38"/>
  <c r="G258" i="38" s="1"/>
  <c r="H258" i="38" s="1"/>
  <c r="N289" i="38" s="1"/>
  <c r="E127" i="38"/>
  <c r="E129" i="38"/>
  <c r="S186" i="38"/>
  <c r="H295" i="38"/>
  <c r="S192" i="38"/>
  <c r="H296" i="38"/>
  <c r="S193" i="38"/>
  <c r="F265" i="38"/>
  <c r="G265" i="38" s="1"/>
  <c r="H265" i="38" s="1"/>
  <c r="N296" i="38" s="1"/>
  <c r="N228" i="38"/>
  <c r="O228" i="38" s="1"/>
  <c r="F264" i="38"/>
  <c r="G264" i="38" s="1"/>
  <c r="H264" i="38" s="1"/>
  <c r="N295" i="38" s="1"/>
  <c r="N236" i="38"/>
  <c r="O236" i="38" s="1"/>
  <c r="N234" i="38"/>
  <c r="O234" i="38" s="1"/>
  <c r="N232" i="38"/>
  <c r="O232" i="38" s="1"/>
  <c r="N230" i="38"/>
  <c r="O230" i="38" s="1"/>
  <c r="D19" i="36"/>
  <c r="H52" i="36" s="1"/>
  <c r="C19" i="36"/>
  <c r="C52" i="36" s="1"/>
  <c r="W28" i="36"/>
  <c r="V28" i="36"/>
  <c r="W27" i="36"/>
  <c r="V27" i="36"/>
  <c r="W26" i="36"/>
  <c r="V26" i="36"/>
  <c r="W25" i="36"/>
  <c r="V25" i="36"/>
  <c r="W24" i="36"/>
  <c r="V24" i="36"/>
  <c r="W23" i="36"/>
  <c r="V23" i="36"/>
  <c r="W22" i="36"/>
  <c r="V22" i="36"/>
  <c r="W21" i="36"/>
  <c r="V21" i="36"/>
  <c r="W20" i="36"/>
  <c r="V20" i="36"/>
  <c r="R193" i="46" l="1"/>
  <c r="D296" i="46"/>
  <c r="C193" i="46"/>
  <c r="C295" i="46"/>
  <c r="P212" i="46"/>
  <c r="Q212" i="46" s="1"/>
  <c r="R212" i="46" s="1"/>
  <c r="J297" i="46"/>
  <c r="F297" i="46" s="1"/>
  <c r="D194" i="46"/>
  <c r="J297" i="45"/>
  <c r="F297" i="45" s="1"/>
  <c r="D194" i="45"/>
  <c r="R193" i="45"/>
  <c r="D296" i="45"/>
  <c r="C193" i="45"/>
  <c r="C295" i="45"/>
  <c r="P212" i="45"/>
  <c r="Q212" i="45" s="1"/>
  <c r="R212" i="45" s="1"/>
  <c r="C294" i="43"/>
  <c r="P211" i="43"/>
  <c r="Q211" i="43" s="1"/>
  <c r="R211" i="43" s="1"/>
  <c r="D295" i="43"/>
  <c r="R192" i="43"/>
  <c r="C192" i="43"/>
  <c r="L194" i="43"/>
  <c r="J296" i="43"/>
  <c r="F296" i="43" s="1"/>
  <c r="D193" i="43"/>
  <c r="D295" i="42"/>
  <c r="C192" i="42"/>
  <c r="R192" i="42"/>
  <c r="L194" i="42"/>
  <c r="J296" i="42"/>
  <c r="F296" i="42" s="1"/>
  <c r="D193" i="42"/>
  <c r="C294" i="42"/>
  <c r="P211" i="42"/>
  <c r="Q211" i="42" s="1"/>
  <c r="R211" i="42" s="1"/>
  <c r="E185" i="39"/>
  <c r="J297" i="41"/>
  <c r="F297" i="41" s="1"/>
  <c r="D194" i="41"/>
  <c r="R193" i="41"/>
  <c r="D296" i="41"/>
  <c r="C193" i="41"/>
  <c r="C295" i="41"/>
  <c r="P212" i="41"/>
  <c r="Q212" i="41" s="1"/>
  <c r="R212" i="41" s="1"/>
  <c r="D189" i="39"/>
  <c r="R185" i="39"/>
  <c r="C185" i="39"/>
  <c r="P205" i="39" s="1"/>
  <c r="Q205" i="39" s="1"/>
  <c r="R205" i="39" s="1"/>
  <c r="M159" i="39"/>
  <c r="F159" i="39"/>
  <c r="G296" i="39"/>
  <c r="F235" i="39"/>
  <c r="G235" i="39" s="1"/>
  <c r="H235" i="39" s="1"/>
  <c r="M296" i="39" s="1"/>
  <c r="E193" i="39"/>
  <c r="G292" i="39"/>
  <c r="F231" i="39"/>
  <c r="G231" i="39" s="1"/>
  <c r="H231" i="39" s="1"/>
  <c r="M292" i="39" s="1"/>
  <c r="E189" i="39"/>
  <c r="G293" i="39"/>
  <c r="F232" i="39"/>
  <c r="G232" i="39" s="1"/>
  <c r="H232" i="39" s="1"/>
  <c r="M293" i="39" s="1"/>
  <c r="E190" i="39"/>
  <c r="M157" i="39"/>
  <c r="F157" i="39"/>
  <c r="G295" i="39"/>
  <c r="F234" i="39"/>
  <c r="G234" i="39" s="1"/>
  <c r="H234" i="39" s="1"/>
  <c r="M295" i="39" s="1"/>
  <c r="E192" i="39"/>
  <c r="F158" i="39"/>
  <c r="M158" i="39"/>
  <c r="R187" i="39"/>
  <c r="F229" i="39"/>
  <c r="G229" i="39" s="1"/>
  <c r="H229" i="39" s="1"/>
  <c r="M290" i="39" s="1"/>
  <c r="E187" i="39"/>
  <c r="G290" i="39"/>
  <c r="F290" i="39" s="1"/>
  <c r="F165" i="39"/>
  <c r="M165" i="39"/>
  <c r="G288" i="39"/>
  <c r="F288" i="39" s="1"/>
  <c r="F227" i="39"/>
  <c r="G227" i="39" s="1"/>
  <c r="H227" i="39" s="1"/>
  <c r="M288" i="39" s="1"/>
  <c r="F161" i="39"/>
  <c r="M161" i="39"/>
  <c r="F164" i="39"/>
  <c r="M164" i="39"/>
  <c r="G289" i="39"/>
  <c r="F289" i="39" s="1"/>
  <c r="R186" i="39"/>
  <c r="E186" i="39"/>
  <c r="F228" i="39"/>
  <c r="G228" i="39" s="1"/>
  <c r="H228" i="39" s="1"/>
  <c r="M289" i="39" s="1"/>
  <c r="J292" i="39"/>
  <c r="L190" i="39"/>
  <c r="D190" i="39" s="1"/>
  <c r="M160" i="39"/>
  <c r="F160" i="39"/>
  <c r="G297" i="39"/>
  <c r="E194" i="39"/>
  <c r="F236" i="39"/>
  <c r="G236" i="39" s="1"/>
  <c r="H236" i="39" s="1"/>
  <c r="M297" i="39" s="1"/>
  <c r="F163" i="39"/>
  <c r="M163" i="39"/>
  <c r="F162" i="39"/>
  <c r="M162" i="39"/>
  <c r="G291" i="39"/>
  <c r="F291" i="39" s="1"/>
  <c r="F230" i="39"/>
  <c r="G230" i="39" s="1"/>
  <c r="H230" i="39" s="1"/>
  <c r="M291" i="39" s="1"/>
  <c r="E188" i="39"/>
  <c r="F166" i="39"/>
  <c r="M166" i="39"/>
  <c r="F233" i="39"/>
  <c r="G233" i="39" s="1"/>
  <c r="H233" i="39" s="1"/>
  <c r="M294" i="39" s="1"/>
  <c r="E191" i="39"/>
  <c r="G294" i="39"/>
  <c r="E135" i="38"/>
  <c r="I135" i="38" s="1"/>
  <c r="D158" i="38" s="1"/>
  <c r="U158" i="38" s="1"/>
  <c r="E138" i="38"/>
  <c r="I138" i="38" s="1"/>
  <c r="E137" i="38"/>
  <c r="I137" i="38" s="1"/>
  <c r="E134" i="38"/>
  <c r="I134" i="38" s="1"/>
  <c r="F143" i="38"/>
  <c r="I143" i="38" s="1"/>
  <c r="F139" i="38"/>
  <c r="I139" i="38" s="1"/>
  <c r="F140" i="38"/>
  <c r="I140" i="38" s="1"/>
  <c r="F142" i="38"/>
  <c r="I142" i="38" s="1"/>
  <c r="F141" i="38"/>
  <c r="I141" i="38" s="1"/>
  <c r="J289" i="38"/>
  <c r="L187" i="38"/>
  <c r="E136" i="38"/>
  <c r="I136" i="38" s="1"/>
  <c r="C282" i="33"/>
  <c r="C282" i="28"/>
  <c r="H19" i="36"/>
  <c r="D20" i="36"/>
  <c r="D21" i="36"/>
  <c r="H54" i="36" s="1"/>
  <c r="D22" i="36"/>
  <c r="D23" i="36"/>
  <c r="H56" i="36" s="1"/>
  <c r="D24" i="36"/>
  <c r="C20" i="36"/>
  <c r="C21" i="36"/>
  <c r="C22" i="36"/>
  <c r="C23" i="36"/>
  <c r="C56" i="36" s="1"/>
  <c r="C24" i="36"/>
  <c r="C25" i="36"/>
  <c r="C26" i="36"/>
  <c r="C27" i="36"/>
  <c r="C28" i="36"/>
  <c r="G19" i="36"/>
  <c r="S40" i="36"/>
  <c r="T40" i="36" s="1"/>
  <c r="S39" i="36"/>
  <c r="T39" i="36" s="1"/>
  <c r="S38" i="36"/>
  <c r="T38" i="36" s="1"/>
  <c r="S37" i="36"/>
  <c r="T37" i="36" s="1"/>
  <c r="S36" i="36"/>
  <c r="T36" i="36" s="1"/>
  <c r="S35" i="36"/>
  <c r="T35" i="36" s="1"/>
  <c r="S34" i="36"/>
  <c r="T34" i="36" s="1"/>
  <c r="S33" i="36"/>
  <c r="T33" i="36" s="1"/>
  <c r="S32" i="36"/>
  <c r="T32" i="36" s="1"/>
  <c r="S31" i="36"/>
  <c r="T31" i="36" s="1"/>
  <c r="N40" i="36"/>
  <c r="O40" i="36" s="1"/>
  <c r="N39" i="36"/>
  <c r="O39" i="36" s="1"/>
  <c r="N38" i="36"/>
  <c r="O38" i="36" s="1"/>
  <c r="N37" i="36"/>
  <c r="O37" i="36" s="1"/>
  <c r="N36" i="36"/>
  <c r="O36" i="36" s="1"/>
  <c r="N35" i="36"/>
  <c r="O35" i="36" s="1"/>
  <c r="N34" i="36"/>
  <c r="O34" i="36" s="1"/>
  <c r="N33" i="36"/>
  <c r="O33" i="36" s="1"/>
  <c r="N32" i="36"/>
  <c r="O32" i="36" s="1"/>
  <c r="N31" i="36"/>
  <c r="O31" i="36" s="1"/>
  <c r="F40" i="36"/>
  <c r="E40" i="36"/>
  <c r="F39" i="36"/>
  <c r="E39" i="36"/>
  <c r="F38" i="36"/>
  <c r="E38" i="36"/>
  <c r="F37" i="36"/>
  <c r="E37" i="36"/>
  <c r="F36" i="36"/>
  <c r="E36" i="36"/>
  <c r="F35" i="36"/>
  <c r="E35" i="36"/>
  <c r="F34" i="36"/>
  <c r="E34" i="36"/>
  <c r="F33" i="36"/>
  <c r="E33" i="36"/>
  <c r="F32" i="36"/>
  <c r="E32" i="36"/>
  <c r="F31" i="36"/>
  <c r="E31" i="36"/>
  <c r="G23" i="36"/>
  <c r="C194" i="46" l="1"/>
  <c r="R194" i="46"/>
  <c r="D297" i="46"/>
  <c r="P213" i="46"/>
  <c r="Q213" i="46" s="1"/>
  <c r="R213" i="46" s="1"/>
  <c r="C296" i="46"/>
  <c r="P213" i="45"/>
  <c r="Q213" i="45" s="1"/>
  <c r="R213" i="45" s="1"/>
  <c r="C296" i="45"/>
  <c r="C194" i="45"/>
  <c r="R194" i="45"/>
  <c r="D297" i="45"/>
  <c r="D296" i="43"/>
  <c r="C193" i="43"/>
  <c r="R193" i="43"/>
  <c r="J297" i="43"/>
  <c r="F297" i="43" s="1"/>
  <c r="D194" i="43"/>
  <c r="C295" i="43"/>
  <c r="P212" i="43"/>
  <c r="Q212" i="43" s="1"/>
  <c r="R212" i="43" s="1"/>
  <c r="C295" i="42"/>
  <c r="P212" i="42"/>
  <c r="Q212" i="42" s="1"/>
  <c r="R212" i="42" s="1"/>
  <c r="D296" i="42"/>
  <c r="C193" i="42"/>
  <c r="R193" i="42"/>
  <c r="J297" i="42"/>
  <c r="F297" i="42" s="1"/>
  <c r="D194" i="42"/>
  <c r="H23" i="36"/>
  <c r="H21" i="36"/>
  <c r="P213" i="41"/>
  <c r="Q213" i="41" s="1"/>
  <c r="R213" i="41" s="1"/>
  <c r="C296" i="41"/>
  <c r="C194" i="41"/>
  <c r="R194" i="41"/>
  <c r="D297" i="41"/>
  <c r="H24" i="36"/>
  <c r="H57" i="36"/>
  <c r="G28" i="36"/>
  <c r="C61" i="36"/>
  <c r="G27" i="36"/>
  <c r="C60" i="36"/>
  <c r="H22" i="36"/>
  <c r="H55" i="36"/>
  <c r="J56" i="36" s="1"/>
  <c r="G26" i="36"/>
  <c r="C59" i="36"/>
  <c r="G21" i="36"/>
  <c r="C54" i="36"/>
  <c r="G25" i="36"/>
  <c r="C58" i="36"/>
  <c r="H20" i="36"/>
  <c r="H53" i="36"/>
  <c r="G24" i="36"/>
  <c r="C57" i="36"/>
  <c r="G20" i="36"/>
  <c r="C53" i="36"/>
  <c r="G22" i="36"/>
  <c r="C55" i="36"/>
  <c r="D56" i="36" s="1"/>
  <c r="F292" i="39"/>
  <c r="E291" i="39"/>
  <c r="K291" i="39" s="1"/>
  <c r="H188" i="39"/>
  <c r="P232" i="39"/>
  <c r="Q232" i="39" s="1"/>
  <c r="R232" i="39" s="1"/>
  <c r="N162" i="39"/>
  <c r="O162" i="39" s="1"/>
  <c r="P234" i="39"/>
  <c r="Q234" i="39" s="1"/>
  <c r="R234" i="39" s="1"/>
  <c r="N164" i="39"/>
  <c r="O164" i="39" s="1"/>
  <c r="D293" i="39"/>
  <c r="C190" i="39"/>
  <c r="R190" i="39"/>
  <c r="E297" i="39"/>
  <c r="K297" i="39" s="1"/>
  <c r="H194" i="39"/>
  <c r="E289" i="39"/>
  <c r="K289" i="39" s="1"/>
  <c r="H186" i="39"/>
  <c r="D288" i="39"/>
  <c r="K165" i="39"/>
  <c r="P165" i="39"/>
  <c r="Q165" i="39" s="1"/>
  <c r="D290" i="39"/>
  <c r="C187" i="39"/>
  <c r="P227" i="39"/>
  <c r="Q227" i="39" s="1"/>
  <c r="R227" i="39" s="1"/>
  <c r="N157" i="39"/>
  <c r="O157" i="39" s="1"/>
  <c r="P236" i="39"/>
  <c r="Q236" i="39" s="1"/>
  <c r="R236" i="39" s="1"/>
  <c r="N166" i="39"/>
  <c r="O166" i="39" s="1"/>
  <c r="R188" i="39"/>
  <c r="C188" i="39"/>
  <c r="D291" i="39"/>
  <c r="P233" i="39"/>
  <c r="Q233" i="39" s="1"/>
  <c r="R233" i="39" s="1"/>
  <c r="N163" i="39"/>
  <c r="O163" i="39" s="1"/>
  <c r="J293" i="39"/>
  <c r="F293" i="39" s="1"/>
  <c r="L191" i="39"/>
  <c r="D191" i="39" s="1"/>
  <c r="D289" i="39"/>
  <c r="C186" i="39"/>
  <c r="P231" i="39"/>
  <c r="Q231" i="39" s="1"/>
  <c r="R231" i="39" s="1"/>
  <c r="N161" i="39"/>
  <c r="O161" i="39" s="1"/>
  <c r="E288" i="39"/>
  <c r="K288" i="39" s="1"/>
  <c r="H185" i="39"/>
  <c r="P228" i="39"/>
  <c r="Q228" i="39" s="1"/>
  <c r="R228" i="39" s="1"/>
  <c r="N158" i="39"/>
  <c r="O158" i="39" s="1"/>
  <c r="E293" i="39"/>
  <c r="K293" i="39" s="1"/>
  <c r="H190" i="39"/>
  <c r="E292" i="39"/>
  <c r="K292" i="39" s="1"/>
  <c r="H189" i="39"/>
  <c r="E296" i="39"/>
  <c r="K296" i="39" s="1"/>
  <c r="H193" i="39"/>
  <c r="P159" i="39"/>
  <c r="Q159" i="39" s="1"/>
  <c r="K159" i="39"/>
  <c r="K160" i="39"/>
  <c r="P160" i="39"/>
  <c r="Q160" i="39" s="1"/>
  <c r="P235" i="39"/>
  <c r="Q235" i="39" s="1"/>
  <c r="R235" i="39" s="1"/>
  <c r="N165" i="39"/>
  <c r="O165" i="39" s="1"/>
  <c r="E295" i="39"/>
  <c r="K295" i="39" s="1"/>
  <c r="H192" i="39"/>
  <c r="P157" i="39"/>
  <c r="Q157" i="39" s="1"/>
  <c r="K157" i="39"/>
  <c r="P162" i="39"/>
  <c r="Q162" i="39" s="1"/>
  <c r="K162" i="39"/>
  <c r="P230" i="39"/>
  <c r="Q230" i="39" s="1"/>
  <c r="R230" i="39" s="1"/>
  <c r="N160" i="39"/>
  <c r="O160" i="39" s="1"/>
  <c r="K164" i="39"/>
  <c r="P164" i="39"/>
  <c r="Q164" i="39" s="1"/>
  <c r="D292" i="39"/>
  <c r="R189" i="39"/>
  <c r="C189" i="39"/>
  <c r="E294" i="39"/>
  <c r="K294" i="39" s="1"/>
  <c r="H191" i="39"/>
  <c r="P166" i="39"/>
  <c r="Q166" i="39" s="1"/>
  <c r="K166" i="39"/>
  <c r="P163" i="39"/>
  <c r="Q163" i="39" s="1"/>
  <c r="K163" i="39"/>
  <c r="K161" i="39"/>
  <c r="P161" i="39"/>
  <c r="Q161" i="39" s="1"/>
  <c r="E290" i="39"/>
  <c r="K290" i="39" s="1"/>
  <c r="H187" i="39"/>
  <c r="K158" i="39"/>
  <c r="P158" i="39"/>
  <c r="Q158" i="39" s="1"/>
  <c r="P229" i="39"/>
  <c r="Q229" i="39" s="1"/>
  <c r="R229" i="39" s="1"/>
  <c r="N159" i="39"/>
  <c r="O159" i="39" s="1"/>
  <c r="K135" i="38"/>
  <c r="K136" i="38"/>
  <c r="D159" i="38"/>
  <c r="U159" i="38" s="1"/>
  <c r="D160" i="38"/>
  <c r="U160" i="38" s="1"/>
  <c r="K137" i="38"/>
  <c r="J290" i="38"/>
  <c r="L188" i="38"/>
  <c r="K134" i="38"/>
  <c r="D157" i="38"/>
  <c r="U157" i="38" s="1"/>
  <c r="D161" i="38"/>
  <c r="U161" i="38" s="1"/>
  <c r="K138" i="38"/>
  <c r="D162" i="38"/>
  <c r="U162" i="38" s="1"/>
  <c r="K139" i="38"/>
  <c r="D165" i="38"/>
  <c r="U165" i="38" s="1"/>
  <c r="K142" i="38"/>
  <c r="K140" i="38"/>
  <c r="D163" i="38"/>
  <c r="U163" i="38" s="1"/>
  <c r="K141" i="38"/>
  <c r="D164" i="38"/>
  <c r="U164" i="38" s="1"/>
  <c r="D166" i="38"/>
  <c r="U166" i="38" s="1"/>
  <c r="K143" i="38"/>
  <c r="F186" i="38"/>
  <c r="C158" i="38"/>
  <c r="E19" i="36"/>
  <c r="N28" i="36"/>
  <c r="O28" i="36" s="1"/>
  <c r="N27" i="36"/>
  <c r="O27" i="36" s="1"/>
  <c r="N26" i="36"/>
  <c r="O26" i="36" s="1"/>
  <c r="N25" i="36"/>
  <c r="O25" i="36" s="1"/>
  <c r="S24" i="36"/>
  <c r="N24" i="36"/>
  <c r="O24" i="36" s="1"/>
  <c r="K24" i="36"/>
  <c r="F24" i="36"/>
  <c r="E24" i="36"/>
  <c r="S23" i="36"/>
  <c r="N23" i="36"/>
  <c r="O23" i="36" s="1"/>
  <c r="K23" i="36"/>
  <c r="F23" i="36"/>
  <c r="E23" i="36"/>
  <c r="S22" i="36"/>
  <c r="N22" i="36"/>
  <c r="O22" i="36" s="1"/>
  <c r="F22" i="36"/>
  <c r="S21" i="36"/>
  <c r="T21" i="36" s="1"/>
  <c r="F21" i="36"/>
  <c r="S20" i="36"/>
  <c r="T20" i="36" s="1"/>
  <c r="N20" i="36"/>
  <c r="O20" i="36" s="1"/>
  <c r="F20" i="36"/>
  <c r="S19" i="36"/>
  <c r="N19" i="36"/>
  <c r="O19" i="36" s="1"/>
  <c r="J19" i="36"/>
  <c r="F19" i="36"/>
  <c r="P214" i="46" l="1"/>
  <c r="Q214" i="46" s="1"/>
  <c r="R214" i="46" s="1"/>
  <c r="C297" i="46"/>
  <c r="P214" i="45"/>
  <c r="Q214" i="45" s="1"/>
  <c r="R214" i="45" s="1"/>
  <c r="C297" i="45"/>
  <c r="C194" i="43"/>
  <c r="D297" i="43"/>
  <c r="R194" i="43"/>
  <c r="P213" i="43"/>
  <c r="Q213" i="43" s="1"/>
  <c r="R213" i="43" s="1"/>
  <c r="C296" i="43"/>
  <c r="C194" i="42"/>
  <c r="D297" i="42"/>
  <c r="R194" i="42"/>
  <c r="P213" i="42"/>
  <c r="Q213" i="42" s="1"/>
  <c r="R213" i="42" s="1"/>
  <c r="C296" i="42"/>
  <c r="E56" i="36"/>
  <c r="P214" i="41"/>
  <c r="Q214" i="41" s="1"/>
  <c r="R214" i="41" s="1"/>
  <c r="C297" i="41"/>
  <c r="E57" i="36"/>
  <c r="D57" i="36"/>
  <c r="I53" i="36"/>
  <c r="J53" i="36"/>
  <c r="D60" i="36"/>
  <c r="E60" i="36"/>
  <c r="E58" i="36"/>
  <c r="D58" i="36"/>
  <c r="I56" i="36"/>
  <c r="D55" i="36"/>
  <c r="E55" i="36"/>
  <c r="E54" i="36"/>
  <c r="D54" i="36"/>
  <c r="E61" i="36"/>
  <c r="D61" i="36"/>
  <c r="D59" i="36"/>
  <c r="E59" i="36"/>
  <c r="J55" i="36"/>
  <c r="I55" i="36"/>
  <c r="D53" i="36"/>
  <c r="E53" i="36"/>
  <c r="I54" i="36"/>
  <c r="I57" i="36"/>
  <c r="J57" i="36"/>
  <c r="J54" i="36"/>
  <c r="S229" i="39"/>
  <c r="S243" i="39"/>
  <c r="S233" i="39"/>
  <c r="S247" i="39"/>
  <c r="P207" i="39"/>
  <c r="Q207" i="39" s="1"/>
  <c r="R207" i="39" s="1"/>
  <c r="C290" i="39"/>
  <c r="S228" i="39"/>
  <c r="S242" i="39"/>
  <c r="J294" i="39"/>
  <c r="F294" i="39" s="1"/>
  <c r="L192" i="39"/>
  <c r="D192" i="39" s="1"/>
  <c r="C288" i="39"/>
  <c r="C289" i="39"/>
  <c r="P206" i="39"/>
  <c r="Q206" i="39" s="1"/>
  <c r="R206" i="39" s="1"/>
  <c r="C291" i="39"/>
  <c r="P208" i="39"/>
  <c r="Q208" i="39" s="1"/>
  <c r="R208" i="39" s="1"/>
  <c r="S227" i="39"/>
  <c r="S241" i="39"/>
  <c r="C293" i="39"/>
  <c r="P210" i="39"/>
  <c r="Q210" i="39" s="1"/>
  <c r="R210" i="39" s="1"/>
  <c r="S230" i="39"/>
  <c r="S244" i="39"/>
  <c r="S235" i="39"/>
  <c r="S249" i="39"/>
  <c r="S231" i="39"/>
  <c r="S245" i="39"/>
  <c r="S236" i="39"/>
  <c r="S250" i="39"/>
  <c r="S232" i="39"/>
  <c r="S246" i="39"/>
  <c r="P209" i="39"/>
  <c r="Q209" i="39" s="1"/>
  <c r="R209" i="39" s="1"/>
  <c r="C292" i="39"/>
  <c r="S234" i="39"/>
  <c r="S248" i="39"/>
  <c r="G289" i="38"/>
  <c r="F289" i="38" s="1"/>
  <c r="F228" i="38"/>
  <c r="G228" i="38" s="1"/>
  <c r="H228" i="38" s="1"/>
  <c r="M289" i="38" s="1"/>
  <c r="D186" i="38"/>
  <c r="E186" i="38"/>
  <c r="F193" i="38"/>
  <c r="C165" i="38"/>
  <c r="F189" i="38"/>
  <c r="C161" i="38"/>
  <c r="C163" i="38"/>
  <c r="F191" i="38"/>
  <c r="C157" i="38"/>
  <c r="F157" i="38" s="1"/>
  <c r="F185" i="38"/>
  <c r="D185" i="38" s="1"/>
  <c r="F158" i="38"/>
  <c r="M158" i="38"/>
  <c r="F194" i="38"/>
  <c r="C166" i="38"/>
  <c r="F190" i="38"/>
  <c r="C162" i="38"/>
  <c r="F162" i="38" s="1"/>
  <c r="F188" i="38"/>
  <c r="C160" i="38"/>
  <c r="C164" i="38"/>
  <c r="F192" i="38"/>
  <c r="J291" i="38"/>
  <c r="L189" i="38"/>
  <c r="C159" i="38"/>
  <c r="F187" i="38"/>
  <c r="T22" i="36"/>
  <c r="T23" i="36"/>
  <c r="T24" i="36"/>
  <c r="I19" i="36"/>
  <c r="J22" i="36"/>
  <c r="J21" i="36"/>
  <c r="I24" i="36"/>
  <c r="T19" i="36"/>
  <c r="U19" i="36" s="1"/>
  <c r="J20" i="36"/>
  <c r="N21" i="36"/>
  <c r="O21" i="36" s="1"/>
  <c r="J23" i="36"/>
  <c r="P19" i="36"/>
  <c r="I21" i="36"/>
  <c r="E22" i="36"/>
  <c r="J24" i="36"/>
  <c r="I23" i="36"/>
  <c r="E20" i="36"/>
  <c r="I20" i="36"/>
  <c r="E21" i="36"/>
  <c r="I22" i="36"/>
  <c r="E112" i="33"/>
  <c r="E113" i="33"/>
  <c r="E117" i="33"/>
  <c r="E116" i="33"/>
  <c r="E115" i="33"/>
  <c r="E114" i="33"/>
  <c r="E115" i="28"/>
  <c r="E116" i="28"/>
  <c r="E117" i="28"/>
  <c r="E114" i="28"/>
  <c r="D134" i="28"/>
  <c r="C297" i="43" l="1"/>
  <c r="P214" i="43"/>
  <c r="Q214" i="43" s="1"/>
  <c r="R214" i="43" s="1"/>
  <c r="C297" i="42"/>
  <c r="P214" i="42"/>
  <c r="Q214" i="42" s="1"/>
  <c r="R214" i="42" s="1"/>
  <c r="D294" i="39"/>
  <c r="C191" i="39"/>
  <c r="R191" i="39"/>
  <c r="J295" i="39"/>
  <c r="F295" i="39" s="1"/>
  <c r="L193" i="39"/>
  <c r="D193" i="39" s="1"/>
  <c r="M164" i="38"/>
  <c r="F164" i="38"/>
  <c r="M166" i="38"/>
  <c r="F166" i="38"/>
  <c r="G294" i="38"/>
  <c r="F233" i="38"/>
  <c r="G233" i="38" s="1"/>
  <c r="H233" i="38" s="1"/>
  <c r="M294" i="38" s="1"/>
  <c r="E191" i="38"/>
  <c r="G292" i="38"/>
  <c r="E189" i="38"/>
  <c r="D189" i="38"/>
  <c r="F231" i="38"/>
  <c r="G231" i="38" s="1"/>
  <c r="H231" i="38" s="1"/>
  <c r="M292" i="38" s="1"/>
  <c r="G290" i="38"/>
  <c r="F290" i="38" s="1"/>
  <c r="F229" i="38"/>
  <c r="G229" i="38" s="1"/>
  <c r="H229" i="38" s="1"/>
  <c r="M290" i="38" s="1"/>
  <c r="E187" i="38"/>
  <c r="D187" i="38"/>
  <c r="F236" i="38"/>
  <c r="G236" i="38" s="1"/>
  <c r="H236" i="38" s="1"/>
  <c r="M297" i="38" s="1"/>
  <c r="G297" i="38"/>
  <c r="E194" i="38"/>
  <c r="D289" i="38"/>
  <c r="R186" i="38"/>
  <c r="C186" i="38"/>
  <c r="M159" i="38"/>
  <c r="F159" i="38"/>
  <c r="M160" i="38"/>
  <c r="F160" i="38"/>
  <c r="F232" i="38"/>
  <c r="G232" i="38" s="1"/>
  <c r="H232" i="38" s="1"/>
  <c r="M293" i="38" s="1"/>
  <c r="G293" i="38"/>
  <c r="E190" i="38"/>
  <c r="P228" i="38"/>
  <c r="Q228" i="38" s="1"/>
  <c r="R228" i="38" s="1"/>
  <c r="N158" i="38"/>
  <c r="O158" i="38" s="1"/>
  <c r="F235" i="38"/>
  <c r="G235" i="38" s="1"/>
  <c r="H235" i="38" s="1"/>
  <c r="M296" i="38" s="1"/>
  <c r="E193" i="38"/>
  <c r="G296" i="38"/>
  <c r="J292" i="38"/>
  <c r="L190" i="38"/>
  <c r="E185" i="38"/>
  <c r="F227" i="38"/>
  <c r="G227" i="38" s="1"/>
  <c r="H227" i="38" s="1"/>
  <c r="M288" i="38" s="1"/>
  <c r="G288" i="38"/>
  <c r="F288" i="38" s="1"/>
  <c r="E289" i="38"/>
  <c r="K289" i="38" s="1"/>
  <c r="H186" i="38"/>
  <c r="M162" i="38"/>
  <c r="M157" i="38"/>
  <c r="M163" i="38"/>
  <c r="F163" i="38"/>
  <c r="M165" i="38"/>
  <c r="F165" i="38"/>
  <c r="F234" i="38"/>
  <c r="G234" i="38" s="1"/>
  <c r="H234" i="38" s="1"/>
  <c r="M295" i="38" s="1"/>
  <c r="G295" i="38"/>
  <c r="E192" i="38"/>
  <c r="F230" i="38"/>
  <c r="G230" i="38" s="1"/>
  <c r="H230" i="38" s="1"/>
  <c r="M291" i="38" s="1"/>
  <c r="G291" i="38"/>
  <c r="F291" i="38" s="1"/>
  <c r="D188" i="38"/>
  <c r="E188" i="38"/>
  <c r="P158" i="38"/>
  <c r="Q158" i="38" s="1"/>
  <c r="K158" i="38"/>
  <c r="M161" i="38"/>
  <c r="F161" i="38"/>
  <c r="E109" i="33"/>
  <c r="E111" i="33"/>
  <c r="E112" i="28"/>
  <c r="E111" i="28"/>
  <c r="E109" i="28"/>
  <c r="E113" i="28"/>
  <c r="H205" i="33"/>
  <c r="F292" i="38" l="1"/>
  <c r="P211" i="39"/>
  <c r="Q211" i="39" s="1"/>
  <c r="R211" i="39" s="1"/>
  <c r="C294" i="39"/>
  <c r="R192" i="39"/>
  <c r="C192" i="39"/>
  <c r="D295" i="39"/>
  <c r="J296" i="39"/>
  <c r="F296" i="39" s="1"/>
  <c r="L194" i="39"/>
  <c r="D194" i="39" s="1"/>
  <c r="K161" i="38"/>
  <c r="P161" i="38"/>
  <c r="Q161" i="38" s="1"/>
  <c r="E291" i="38"/>
  <c r="K291" i="38" s="1"/>
  <c r="H188" i="38"/>
  <c r="E295" i="38"/>
  <c r="K295" i="38" s="1"/>
  <c r="H192" i="38"/>
  <c r="K165" i="38"/>
  <c r="P165" i="38"/>
  <c r="Q165" i="38" s="1"/>
  <c r="E288" i="38"/>
  <c r="K288" i="38" s="1"/>
  <c r="H185" i="38"/>
  <c r="P159" i="38"/>
  <c r="Q159" i="38" s="1"/>
  <c r="K159" i="38"/>
  <c r="P234" i="38"/>
  <c r="Q234" i="38" s="1"/>
  <c r="R234" i="38" s="1"/>
  <c r="N164" i="38"/>
  <c r="O164" i="38" s="1"/>
  <c r="P231" i="38"/>
  <c r="Q231" i="38" s="1"/>
  <c r="R231" i="38" s="1"/>
  <c r="N161" i="38"/>
  <c r="O161" i="38" s="1"/>
  <c r="R188" i="38"/>
  <c r="D291" i="38"/>
  <c r="C188" i="38"/>
  <c r="P235" i="38"/>
  <c r="Q235" i="38" s="1"/>
  <c r="R235" i="38" s="1"/>
  <c r="N165" i="38"/>
  <c r="O165" i="38" s="1"/>
  <c r="P227" i="38"/>
  <c r="Q227" i="38" s="1"/>
  <c r="R227" i="38" s="1"/>
  <c r="N157" i="38"/>
  <c r="O157" i="38" s="1"/>
  <c r="D288" i="38"/>
  <c r="C185" i="38"/>
  <c r="P205" i="38" s="1"/>
  <c r="R185" i="38"/>
  <c r="S242" i="38"/>
  <c r="S228" i="38"/>
  <c r="P229" i="38"/>
  <c r="Q229" i="38" s="1"/>
  <c r="R229" i="38" s="1"/>
  <c r="N159" i="38"/>
  <c r="O159" i="38" s="1"/>
  <c r="D290" i="38"/>
  <c r="C187" i="38"/>
  <c r="R187" i="38"/>
  <c r="E294" i="38"/>
  <c r="K294" i="38" s="1"/>
  <c r="H191" i="38"/>
  <c r="K166" i="38"/>
  <c r="P166" i="38"/>
  <c r="Q166" i="38" s="1"/>
  <c r="K163" i="38"/>
  <c r="P163" i="38"/>
  <c r="Q163" i="38" s="1"/>
  <c r="K162" i="38"/>
  <c r="P162" i="38"/>
  <c r="Q162" i="38" s="1"/>
  <c r="L191" i="38"/>
  <c r="J293" i="38"/>
  <c r="F293" i="38" s="1"/>
  <c r="E296" i="38"/>
  <c r="K296" i="38" s="1"/>
  <c r="H193" i="38"/>
  <c r="E293" i="38"/>
  <c r="K293" i="38" s="1"/>
  <c r="H190" i="38"/>
  <c r="K160" i="38"/>
  <c r="P160" i="38"/>
  <c r="Q160" i="38" s="1"/>
  <c r="C289" i="38"/>
  <c r="P206" i="38"/>
  <c r="Q206" i="38" s="1"/>
  <c r="R206" i="38" s="1"/>
  <c r="E297" i="38"/>
  <c r="K297" i="38" s="1"/>
  <c r="H194" i="38"/>
  <c r="E290" i="38"/>
  <c r="K290" i="38" s="1"/>
  <c r="H187" i="38"/>
  <c r="D292" i="38"/>
  <c r="R189" i="38"/>
  <c r="C189" i="38"/>
  <c r="P236" i="38"/>
  <c r="Q236" i="38" s="1"/>
  <c r="R236" i="38" s="1"/>
  <c r="N166" i="38"/>
  <c r="O166" i="38" s="1"/>
  <c r="P233" i="38"/>
  <c r="Q233" i="38" s="1"/>
  <c r="R233" i="38" s="1"/>
  <c r="N163" i="38"/>
  <c r="O163" i="38" s="1"/>
  <c r="P232" i="38"/>
  <c r="Q232" i="38" s="1"/>
  <c r="R232" i="38" s="1"/>
  <c r="N162" i="38"/>
  <c r="O162" i="38" s="1"/>
  <c r="D190" i="38"/>
  <c r="P230" i="38"/>
  <c r="Q230" i="38" s="1"/>
  <c r="R230" i="38" s="1"/>
  <c r="N160" i="38"/>
  <c r="O160" i="38" s="1"/>
  <c r="E292" i="38"/>
  <c r="K292" i="38" s="1"/>
  <c r="H189" i="38"/>
  <c r="P164" i="38"/>
  <c r="Q164" i="38" s="1"/>
  <c r="K164" i="38"/>
  <c r="K157" i="38"/>
  <c r="P157" i="38"/>
  <c r="Q157" i="38" s="1"/>
  <c r="E110" i="33"/>
  <c r="E110" i="28"/>
  <c r="O186" i="28"/>
  <c r="O187" i="28"/>
  <c r="O188" i="28"/>
  <c r="O189" i="28"/>
  <c r="O190" i="28"/>
  <c r="O191" i="28"/>
  <c r="O192" i="28"/>
  <c r="O193" i="28"/>
  <c r="O194" i="28"/>
  <c r="O185" i="28"/>
  <c r="C295" i="39" l="1"/>
  <c r="P212" i="39"/>
  <c r="Q212" i="39" s="1"/>
  <c r="R212" i="39" s="1"/>
  <c r="J297" i="39"/>
  <c r="F297" i="39" s="1"/>
  <c r="D296" i="39"/>
  <c r="R193" i="39"/>
  <c r="C193" i="39"/>
  <c r="S236" i="38"/>
  <c r="S250" i="38"/>
  <c r="C290" i="38"/>
  <c r="P207" i="38"/>
  <c r="Q207" i="38" s="1"/>
  <c r="R207" i="38" s="1"/>
  <c r="C288" i="38"/>
  <c r="Q205" i="38"/>
  <c r="R205" i="38" s="1"/>
  <c r="S232" i="38"/>
  <c r="S246" i="38"/>
  <c r="S235" i="38"/>
  <c r="S249" i="38"/>
  <c r="S234" i="38"/>
  <c r="S248" i="38"/>
  <c r="S244" i="38"/>
  <c r="S230" i="38"/>
  <c r="P209" i="38"/>
  <c r="Q209" i="38" s="1"/>
  <c r="R209" i="38" s="1"/>
  <c r="C292" i="38"/>
  <c r="J294" i="38"/>
  <c r="F294" i="38" s="1"/>
  <c r="L192" i="38"/>
  <c r="D191" i="38"/>
  <c r="D293" i="38"/>
  <c r="C190" i="38"/>
  <c r="R190" i="38"/>
  <c r="S233" i="38"/>
  <c r="S247" i="38"/>
  <c r="S229" i="38"/>
  <c r="S243" i="38"/>
  <c r="S227" i="38"/>
  <c r="S241" i="38"/>
  <c r="C291" i="38"/>
  <c r="P208" i="38"/>
  <c r="Q208" i="38" s="1"/>
  <c r="R208" i="38" s="1"/>
  <c r="S231" i="38"/>
  <c r="S245" i="38"/>
  <c r="E30" i="28"/>
  <c r="P213" i="39" l="1"/>
  <c r="Q213" i="39" s="1"/>
  <c r="R213" i="39" s="1"/>
  <c r="C296" i="39"/>
  <c r="D297" i="39"/>
  <c r="C194" i="39"/>
  <c r="R194" i="39"/>
  <c r="C293" i="38"/>
  <c r="P210" i="38"/>
  <c r="Q210" i="38" s="1"/>
  <c r="R210" i="38" s="1"/>
  <c r="C191" i="38"/>
  <c r="D294" i="38"/>
  <c r="R191" i="38"/>
  <c r="J295" i="38"/>
  <c r="F295" i="38" s="1"/>
  <c r="L193" i="38"/>
  <c r="D192" i="38"/>
  <c r="C297" i="39" l="1"/>
  <c r="P214" i="39"/>
  <c r="Q214" i="39" s="1"/>
  <c r="R214" i="39" s="1"/>
  <c r="R192" i="38"/>
  <c r="C192" i="38"/>
  <c r="D295" i="38"/>
  <c r="J296" i="38"/>
  <c r="F296" i="38" s="1"/>
  <c r="L194" i="38"/>
  <c r="D193" i="38"/>
  <c r="C294" i="38"/>
  <c r="P211" i="38"/>
  <c r="Q211" i="38" s="1"/>
  <c r="R211" i="38" s="1"/>
  <c r="X129" i="35"/>
  <c r="AB129" i="35"/>
  <c r="AF129" i="35"/>
  <c r="L185" i="28"/>
  <c r="D194" i="38" l="1"/>
  <c r="C194" i="38" s="1"/>
  <c r="J297" i="38"/>
  <c r="F297" i="38" s="1"/>
  <c r="D296" i="38"/>
  <c r="C193" i="38"/>
  <c r="R193" i="38"/>
  <c r="C295" i="38"/>
  <c r="P212" i="38"/>
  <c r="Q212" i="38" s="1"/>
  <c r="R212" i="38" s="1"/>
  <c r="AI31" i="35"/>
  <c r="G31" i="35" s="1"/>
  <c r="AI32" i="35"/>
  <c r="G32" i="35" s="1"/>
  <c r="AI33" i="35"/>
  <c r="G33" i="35" s="1"/>
  <c r="AI34" i="35"/>
  <c r="G34" i="35" s="1"/>
  <c r="AI35" i="35"/>
  <c r="G35" i="35" s="1"/>
  <c r="AI36" i="35"/>
  <c r="G36" i="35" s="1"/>
  <c r="AI37" i="35"/>
  <c r="G37" i="35" s="1"/>
  <c r="AI38" i="35"/>
  <c r="G38" i="35" s="1"/>
  <c r="AI39" i="35"/>
  <c r="G39" i="35" s="1"/>
  <c r="AI30" i="35"/>
  <c r="G30" i="35" s="1"/>
  <c r="C296" i="38" l="1"/>
  <c r="P213" i="38"/>
  <c r="Q213" i="38" s="1"/>
  <c r="R213" i="38" s="1"/>
  <c r="D297" i="38"/>
  <c r="R194" i="38"/>
  <c r="U244" i="34"/>
  <c r="U244" i="35"/>
  <c r="U245" i="35" s="1"/>
  <c r="B157" i="35"/>
  <c r="O131" i="35"/>
  <c r="I131" i="35" s="1"/>
  <c r="Q131" i="35"/>
  <c r="O132" i="35"/>
  <c r="I132" i="35" s="1"/>
  <c r="Q129" i="35"/>
  <c r="P129" i="35"/>
  <c r="L129" i="35" s="1"/>
  <c r="J232" i="35" s="1"/>
  <c r="O129" i="35"/>
  <c r="I129" i="35" s="1"/>
  <c r="AF138" i="35"/>
  <c r="Q138" i="35" s="1"/>
  <c r="AF137" i="35"/>
  <c r="Q137" i="35" s="1"/>
  <c r="AF136" i="35"/>
  <c r="Q136" i="35" s="1"/>
  <c r="AF135" i="35"/>
  <c r="Q135" i="35" s="1"/>
  <c r="AF134" i="35"/>
  <c r="Q134" i="35" s="1"/>
  <c r="AF133" i="35"/>
  <c r="Q133" i="35" s="1"/>
  <c r="AF132" i="35"/>
  <c r="Q132" i="35" s="1"/>
  <c r="AF131" i="35"/>
  <c r="AF130" i="35"/>
  <c r="Q130" i="35" s="1"/>
  <c r="AB138" i="35"/>
  <c r="P138" i="35" s="1"/>
  <c r="AB137" i="35"/>
  <c r="P137" i="35" s="1"/>
  <c r="AB136" i="35"/>
  <c r="P136" i="35" s="1"/>
  <c r="AB135" i="35"/>
  <c r="P135" i="35" s="1"/>
  <c r="AB134" i="35"/>
  <c r="P134" i="35" s="1"/>
  <c r="AB133" i="35"/>
  <c r="P133" i="35" s="1"/>
  <c r="AB132" i="35"/>
  <c r="P132" i="35" s="1"/>
  <c r="AB131" i="35"/>
  <c r="P131" i="35" s="1"/>
  <c r="AB130" i="35"/>
  <c r="P130" i="35" s="1"/>
  <c r="X130" i="35"/>
  <c r="O130" i="35" s="1"/>
  <c r="I130" i="35" s="1"/>
  <c r="X131" i="35"/>
  <c r="X132" i="35"/>
  <c r="X133" i="35"/>
  <c r="O133" i="35" s="1"/>
  <c r="I133" i="35" s="1"/>
  <c r="X134" i="35"/>
  <c r="O134" i="35" s="1"/>
  <c r="I134" i="35" s="1"/>
  <c r="X135" i="35"/>
  <c r="O135" i="35" s="1"/>
  <c r="I135" i="35" s="1"/>
  <c r="X136" i="35"/>
  <c r="O136" i="35" s="1"/>
  <c r="I136" i="35" s="1"/>
  <c r="X137" i="35"/>
  <c r="O137" i="35" s="1"/>
  <c r="I137" i="35" s="1"/>
  <c r="X138" i="35"/>
  <c r="O138" i="35" s="1"/>
  <c r="I138" i="35" s="1"/>
  <c r="Q118" i="35"/>
  <c r="Q117" i="35"/>
  <c r="D87" i="35"/>
  <c r="P53" i="35"/>
  <c r="B53" i="35" s="1"/>
  <c r="J79" i="35" s="1"/>
  <c r="P54" i="35"/>
  <c r="B54" i="35" s="1"/>
  <c r="J80" i="35" s="1"/>
  <c r="P55" i="35"/>
  <c r="B55" i="35" s="1"/>
  <c r="J81" i="35" s="1"/>
  <c r="P56" i="35"/>
  <c r="B56" i="35" s="1"/>
  <c r="J82" i="35" s="1"/>
  <c r="P57" i="35"/>
  <c r="B57" i="35" s="1"/>
  <c r="P58" i="35"/>
  <c r="B58" i="35" s="1"/>
  <c r="J84" i="35" s="1"/>
  <c r="P59" i="35"/>
  <c r="B59" i="35" s="1"/>
  <c r="P60" i="35"/>
  <c r="B60" i="35" s="1"/>
  <c r="P61" i="35"/>
  <c r="B61" i="35" s="1"/>
  <c r="J87" i="35" s="1"/>
  <c r="P52" i="35"/>
  <c r="B52" i="35" s="1"/>
  <c r="J78" i="35" s="1"/>
  <c r="L241" i="35"/>
  <c r="P241" i="35" s="1"/>
  <c r="T244" i="35" s="1"/>
  <c r="T245" i="35" s="1"/>
  <c r="I241" i="35"/>
  <c r="L240" i="35"/>
  <c r="P240" i="35" s="1"/>
  <c r="I240" i="35"/>
  <c r="L239" i="35"/>
  <c r="P239" i="35" s="1"/>
  <c r="I239" i="35"/>
  <c r="L238" i="35"/>
  <c r="P238" i="35" s="1"/>
  <c r="I238" i="35"/>
  <c r="L237" i="35"/>
  <c r="P237" i="35" s="1"/>
  <c r="I237" i="35"/>
  <c r="L236" i="35"/>
  <c r="P236" i="35" s="1"/>
  <c r="S244" i="35" s="1"/>
  <c r="S245" i="35" s="1"/>
  <c r="I236" i="35"/>
  <c r="L235" i="35"/>
  <c r="P235" i="35" s="1"/>
  <c r="I235" i="35"/>
  <c r="L234" i="35"/>
  <c r="P234" i="35" s="1"/>
  <c r="I234" i="35"/>
  <c r="L233" i="35"/>
  <c r="P233" i="35" s="1"/>
  <c r="I233" i="35"/>
  <c r="L232" i="35"/>
  <c r="P232" i="35" s="1"/>
  <c r="R244" i="35" s="1"/>
  <c r="R245" i="35" s="1"/>
  <c r="I232" i="35"/>
  <c r="B229" i="35"/>
  <c r="D225" i="35"/>
  <c r="C225" i="35"/>
  <c r="B225" i="35"/>
  <c r="D224" i="35"/>
  <c r="B224" i="35"/>
  <c r="E223" i="35"/>
  <c r="B223" i="35"/>
  <c r="E222" i="35"/>
  <c r="B222" i="35"/>
  <c r="B221" i="35"/>
  <c r="Q210" i="35"/>
  <c r="L210" i="35"/>
  <c r="Q209" i="35"/>
  <c r="L209" i="35"/>
  <c r="Q208" i="35"/>
  <c r="L208" i="35"/>
  <c r="Q207" i="35"/>
  <c r="L207" i="35"/>
  <c r="Q206" i="35"/>
  <c r="L206" i="35"/>
  <c r="Q205" i="35"/>
  <c r="L205" i="35"/>
  <c r="Q204" i="35"/>
  <c r="L204" i="35"/>
  <c r="Q203" i="35"/>
  <c r="L203" i="35"/>
  <c r="Q202" i="35"/>
  <c r="L202" i="35"/>
  <c r="B202" i="35"/>
  <c r="Q201" i="35"/>
  <c r="L201" i="35"/>
  <c r="B201" i="35"/>
  <c r="M201" i="35" s="1"/>
  <c r="B200" i="35"/>
  <c r="R194" i="35"/>
  <c r="R193" i="35"/>
  <c r="R192" i="35"/>
  <c r="R191" i="35"/>
  <c r="R190" i="35"/>
  <c r="R189" i="35"/>
  <c r="R188" i="35"/>
  <c r="R187" i="35"/>
  <c r="R186" i="35"/>
  <c r="R185" i="35"/>
  <c r="L180" i="35"/>
  <c r="L179" i="35"/>
  <c r="L178" i="35"/>
  <c r="L177" i="35"/>
  <c r="L176" i="35"/>
  <c r="L175" i="35"/>
  <c r="L174" i="35"/>
  <c r="L173" i="35"/>
  <c r="L172" i="35"/>
  <c r="B172" i="35"/>
  <c r="L171" i="35"/>
  <c r="B171" i="35"/>
  <c r="M171" i="35" s="1"/>
  <c r="B170" i="35"/>
  <c r="H149" i="35"/>
  <c r="I158" i="35" s="1"/>
  <c r="M158" i="35" s="1"/>
  <c r="Q147" i="35"/>
  <c r="R147" i="35" s="1"/>
  <c r="G138" i="35"/>
  <c r="G137" i="35"/>
  <c r="H240" i="35" s="1"/>
  <c r="G136" i="35"/>
  <c r="G135" i="35"/>
  <c r="G134" i="35"/>
  <c r="G133" i="35"/>
  <c r="F205" i="35" s="1"/>
  <c r="G205" i="35" s="1"/>
  <c r="G132" i="35"/>
  <c r="S132" i="35" s="1"/>
  <c r="G131" i="35"/>
  <c r="H234" i="35" s="1"/>
  <c r="J130" i="35"/>
  <c r="J131" i="35" s="1"/>
  <c r="J132" i="35" s="1"/>
  <c r="J133" i="35" s="1"/>
  <c r="J134" i="35" s="1"/>
  <c r="G130" i="35"/>
  <c r="S130" i="35" s="1"/>
  <c r="G129" i="35"/>
  <c r="I123" i="35"/>
  <c r="J110" i="35"/>
  <c r="G110" i="35"/>
  <c r="H110" i="35" s="1"/>
  <c r="J109" i="35"/>
  <c r="G109" i="35"/>
  <c r="H109" i="35" s="1"/>
  <c r="J108" i="35"/>
  <c r="G108" i="35"/>
  <c r="H108" i="35" s="1"/>
  <c r="J107" i="35"/>
  <c r="G107" i="35"/>
  <c r="H107" i="35" s="1"/>
  <c r="J106" i="35"/>
  <c r="G106" i="35"/>
  <c r="H106" i="35" s="1"/>
  <c r="J105" i="35"/>
  <c r="G105" i="35"/>
  <c r="H105" i="35" s="1"/>
  <c r="J104" i="35"/>
  <c r="G104" i="35"/>
  <c r="H104" i="35" s="1"/>
  <c r="J103" i="35"/>
  <c r="G103" i="35"/>
  <c r="H103" i="35" s="1"/>
  <c r="J102" i="35"/>
  <c r="G102" i="35"/>
  <c r="H102" i="35" s="1"/>
  <c r="J101" i="35"/>
  <c r="G101" i="35"/>
  <c r="H101" i="35" s="1"/>
  <c r="J99" i="35"/>
  <c r="S169" i="35" s="1"/>
  <c r="J97" i="35"/>
  <c r="J86" i="35"/>
  <c r="D86" i="35"/>
  <c r="J85" i="35"/>
  <c r="D85" i="35"/>
  <c r="D84" i="35"/>
  <c r="J83" i="35"/>
  <c r="D83" i="35"/>
  <c r="D82" i="35"/>
  <c r="D81" i="35"/>
  <c r="D80" i="35"/>
  <c r="D79" i="35"/>
  <c r="D78" i="35"/>
  <c r="E39" i="35"/>
  <c r="E38" i="35"/>
  <c r="E37" i="35"/>
  <c r="E36" i="35"/>
  <c r="E35" i="35"/>
  <c r="E34" i="35"/>
  <c r="E33" i="35"/>
  <c r="E32" i="35"/>
  <c r="E31" i="35"/>
  <c r="E30" i="35"/>
  <c r="C20" i="35"/>
  <c r="Q10" i="35"/>
  <c r="P10" i="35"/>
  <c r="E73" i="35" l="1"/>
  <c r="E70" i="35"/>
  <c r="E72" i="35"/>
  <c r="E71" i="35"/>
  <c r="S131" i="35"/>
  <c r="F73" i="35"/>
  <c r="F72" i="35"/>
  <c r="F71" i="35"/>
  <c r="F70" i="35"/>
  <c r="F203" i="35"/>
  <c r="G203" i="35" s="1"/>
  <c r="H203" i="35" s="1"/>
  <c r="N234" i="35" s="1"/>
  <c r="C297" i="38"/>
  <c r="P214" i="38"/>
  <c r="Q214" i="38" s="1"/>
  <c r="R214" i="38" s="1"/>
  <c r="N207" i="35"/>
  <c r="O207" i="35" s="1"/>
  <c r="N179" i="35"/>
  <c r="O179" i="35" s="1"/>
  <c r="H205" i="35"/>
  <c r="N236" i="35" s="1"/>
  <c r="I152" i="35"/>
  <c r="M152" i="35" s="1"/>
  <c r="N172" i="35"/>
  <c r="O172" i="35" s="1"/>
  <c r="N174" i="35"/>
  <c r="O174" i="35" s="1"/>
  <c r="N176" i="35"/>
  <c r="O176" i="35" s="1"/>
  <c r="N178" i="35"/>
  <c r="O178" i="35" s="1"/>
  <c r="N180" i="35"/>
  <c r="O180" i="35" s="1"/>
  <c r="I155" i="35"/>
  <c r="M155" i="35" s="1"/>
  <c r="N171" i="35"/>
  <c r="O171" i="35" s="1"/>
  <c r="I150" i="35"/>
  <c r="M150" i="35" s="1"/>
  <c r="N173" i="35"/>
  <c r="O173" i="35" s="1"/>
  <c r="N175" i="35"/>
  <c r="O175" i="35" s="1"/>
  <c r="N177" i="35"/>
  <c r="O177" i="35" s="1"/>
  <c r="N204" i="35"/>
  <c r="O204" i="35" s="1"/>
  <c r="I151" i="35"/>
  <c r="M151" i="35" s="1"/>
  <c r="N203" i="35"/>
  <c r="O203" i="35" s="1"/>
  <c r="S133" i="35"/>
  <c r="H236" i="35"/>
  <c r="M243" i="35"/>
  <c r="D20" i="35" s="1"/>
  <c r="J135" i="35"/>
  <c r="J136" i="35" s="1"/>
  <c r="F201" i="35"/>
  <c r="G201" i="35" s="1"/>
  <c r="H201" i="35" s="1"/>
  <c r="N232" i="35" s="1"/>
  <c r="S135" i="35"/>
  <c r="H238" i="35"/>
  <c r="N205" i="35"/>
  <c r="O205" i="35" s="1"/>
  <c r="H232" i="35"/>
  <c r="H228" i="35"/>
  <c r="H126" i="35"/>
  <c r="N208" i="35"/>
  <c r="O208" i="35" s="1"/>
  <c r="N209" i="35"/>
  <c r="O209" i="35" s="1"/>
  <c r="L130" i="35"/>
  <c r="F207" i="35"/>
  <c r="G207" i="35" s="1"/>
  <c r="H207" i="35" s="1"/>
  <c r="N238" i="35" s="1"/>
  <c r="S129" i="35"/>
  <c r="S137" i="35"/>
  <c r="F209" i="35"/>
  <c r="G209" i="35" s="1"/>
  <c r="H209" i="35" s="1"/>
  <c r="N240" i="35" s="1"/>
  <c r="F208" i="35"/>
  <c r="G208" i="35" s="1"/>
  <c r="H208" i="35" s="1"/>
  <c r="N239" i="35" s="1"/>
  <c r="H239" i="35"/>
  <c r="S136" i="35"/>
  <c r="N202" i="35"/>
  <c r="O202" i="35" s="1"/>
  <c r="N210" i="35"/>
  <c r="O210" i="35" s="1"/>
  <c r="H233" i="35"/>
  <c r="F202" i="35"/>
  <c r="G202" i="35" s="1"/>
  <c r="H202" i="35" s="1"/>
  <c r="N233" i="35" s="1"/>
  <c r="F204" i="35"/>
  <c r="G204" i="35" s="1"/>
  <c r="H204" i="35" s="1"/>
  <c r="N235" i="35" s="1"/>
  <c r="H235" i="35"/>
  <c r="H237" i="35"/>
  <c r="F206" i="35"/>
  <c r="G206" i="35" s="1"/>
  <c r="H206" i="35" s="1"/>
  <c r="N237" i="35" s="1"/>
  <c r="S134" i="35"/>
  <c r="H241" i="35"/>
  <c r="F210" i="35"/>
  <c r="G210" i="35" s="1"/>
  <c r="H210" i="35" s="1"/>
  <c r="N241" i="35" s="1"/>
  <c r="S138" i="35"/>
  <c r="I157" i="35"/>
  <c r="M157" i="35" s="1"/>
  <c r="I153" i="35"/>
  <c r="M153" i="35" s="1"/>
  <c r="I149" i="35"/>
  <c r="M149" i="35" s="1"/>
  <c r="I154" i="35"/>
  <c r="M154" i="35" s="1"/>
  <c r="I156" i="35"/>
  <c r="M156" i="35" s="1"/>
  <c r="N201" i="35"/>
  <c r="O201" i="35" s="1"/>
  <c r="N206" i="35"/>
  <c r="O206" i="35" s="1"/>
  <c r="C20" i="34"/>
  <c r="U245" i="34"/>
  <c r="D280" i="28"/>
  <c r="D280" i="33"/>
  <c r="D224" i="34"/>
  <c r="J99" i="34"/>
  <c r="J97" i="34"/>
  <c r="E82" i="35" l="1"/>
  <c r="I82" i="35" s="1"/>
  <c r="D105" i="35" s="1"/>
  <c r="E78" i="35"/>
  <c r="I78" i="35" s="1"/>
  <c r="D101" i="35" s="1"/>
  <c r="E81" i="35"/>
  <c r="I81" i="35" s="1"/>
  <c r="K81" i="35" s="1"/>
  <c r="E79" i="35"/>
  <c r="I79" i="35" s="1"/>
  <c r="K79" i="35" s="1"/>
  <c r="E80" i="35"/>
  <c r="I80" i="35" s="1"/>
  <c r="D103" i="35" s="1"/>
  <c r="J233" i="35"/>
  <c r="L131" i="35"/>
  <c r="F86" i="35"/>
  <c r="I86" i="35" s="1"/>
  <c r="F87" i="35"/>
  <c r="I87" i="35" s="1"/>
  <c r="F85" i="35"/>
  <c r="I85" i="35" s="1"/>
  <c r="F84" i="35"/>
  <c r="I84" i="35" s="1"/>
  <c r="F83" i="35"/>
  <c r="I83" i="35" s="1"/>
  <c r="J137" i="35"/>
  <c r="L180" i="34"/>
  <c r="L177" i="34"/>
  <c r="L176" i="34"/>
  <c r="L173" i="34"/>
  <c r="L172" i="34"/>
  <c r="L241" i="34"/>
  <c r="P241" i="34" s="1"/>
  <c r="T244" i="34" s="1"/>
  <c r="T245" i="34" s="1"/>
  <c r="I241" i="34"/>
  <c r="L240" i="34"/>
  <c r="P240" i="34" s="1"/>
  <c r="I240" i="34"/>
  <c r="L239" i="34"/>
  <c r="P239" i="34" s="1"/>
  <c r="I239" i="34"/>
  <c r="L238" i="34"/>
  <c r="P238" i="34" s="1"/>
  <c r="I238" i="34"/>
  <c r="L237" i="34"/>
  <c r="P237" i="34" s="1"/>
  <c r="I237" i="34"/>
  <c r="L236" i="34"/>
  <c r="P236" i="34" s="1"/>
  <c r="S244" i="34" s="1"/>
  <c r="S245" i="34" s="1"/>
  <c r="I236" i="34"/>
  <c r="L235" i="34"/>
  <c r="P235" i="34" s="1"/>
  <c r="I235" i="34"/>
  <c r="L234" i="34"/>
  <c r="P234" i="34" s="1"/>
  <c r="I234" i="34"/>
  <c r="L233" i="34"/>
  <c r="P233" i="34" s="1"/>
  <c r="I233" i="34"/>
  <c r="L232" i="34"/>
  <c r="P232" i="34" s="1"/>
  <c r="R244" i="34" s="1"/>
  <c r="R245" i="34" s="1"/>
  <c r="I232" i="34"/>
  <c r="B229" i="34"/>
  <c r="H228" i="34"/>
  <c r="I227" i="34"/>
  <c r="D225" i="34"/>
  <c r="C225" i="34"/>
  <c r="B225" i="34"/>
  <c r="B224" i="34"/>
  <c r="E223" i="34"/>
  <c r="B223" i="34"/>
  <c r="E222" i="34"/>
  <c r="B222" i="34"/>
  <c r="B221" i="34"/>
  <c r="Q210" i="34"/>
  <c r="L210" i="34"/>
  <c r="Q209" i="34"/>
  <c r="L209" i="34"/>
  <c r="Q208" i="34"/>
  <c r="L208" i="34"/>
  <c r="Q207" i="34"/>
  <c r="L207" i="34"/>
  <c r="Q206" i="34"/>
  <c r="L206" i="34"/>
  <c r="Q205" i="34"/>
  <c r="L205" i="34"/>
  <c r="Q204" i="34"/>
  <c r="L204" i="34"/>
  <c r="Q203" i="34"/>
  <c r="L203" i="34"/>
  <c r="Q202" i="34"/>
  <c r="L202" i="34"/>
  <c r="B202" i="34"/>
  <c r="Q201" i="34"/>
  <c r="L201" i="34"/>
  <c r="B201" i="34"/>
  <c r="M201" i="34" s="1"/>
  <c r="B200" i="34"/>
  <c r="R194" i="34"/>
  <c r="R193" i="34"/>
  <c r="R192" i="34"/>
  <c r="R191" i="34"/>
  <c r="R190" i="34"/>
  <c r="R189" i="34"/>
  <c r="R188" i="34"/>
  <c r="R187" i="34"/>
  <c r="R186" i="34"/>
  <c r="R185" i="34"/>
  <c r="L179" i="34"/>
  <c r="L178" i="34"/>
  <c r="L175" i="34"/>
  <c r="L174" i="34"/>
  <c r="B172" i="34"/>
  <c r="L171" i="34"/>
  <c r="B171" i="34"/>
  <c r="M171" i="34" s="1"/>
  <c r="B170" i="34"/>
  <c r="S169" i="34"/>
  <c r="H149" i="34"/>
  <c r="I158" i="34" s="1"/>
  <c r="M158" i="34" s="1"/>
  <c r="R147" i="34"/>
  <c r="Q147" i="34"/>
  <c r="I138" i="34"/>
  <c r="G138" i="34"/>
  <c r="I137" i="34"/>
  <c r="G137" i="34"/>
  <c r="H240" i="34" s="1"/>
  <c r="I136" i="34"/>
  <c r="G136" i="34"/>
  <c r="I135" i="34"/>
  <c r="G135" i="34"/>
  <c r="F207" i="34" s="1"/>
  <c r="G207" i="34" s="1"/>
  <c r="I134" i="34"/>
  <c r="G134" i="34"/>
  <c r="I133" i="34"/>
  <c r="G133" i="34"/>
  <c r="H236" i="34" s="1"/>
  <c r="I132" i="34"/>
  <c r="G132" i="34"/>
  <c r="H235" i="34" s="1"/>
  <c r="I131" i="34"/>
  <c r="G131" i="34"/>
  <c r="F203" i="34" s="1"/>
  <c r="G203" i="34" s="1"/>
  <c r="J130" i="34"/>
  <c r="J131" i="34" s="1"/>
  <c r="J132" i="34" s="1"/>
  <c r="J133" i="34" s="1"/>
  <c r="I130" i="34"/>
  <c r="G130" i="34"/>
  <c r="S130" i="34" s="1"/>
  <c r="L129" i="34"/>
  <c r="J232" i="34" s="1"/>
  <c r="I129" i="34"/>
  <c r="G129" i="34"/>
  <c r="S129" i="34" s="1"/>
  <c r="H126" i="34"/>
  <c r="I123" i="34"/>
  <c r="G110" i="34"/>
  <c r="H110" i="34" s="1"/>
  <c r="G109" i="34"/>
  <c r="H109" i="34" s="1"/>
  <c r="G108" i="34"/>
  <c r="H108" i="34" s="1"/>
  <c r="G107" i="34"/>
  <c r="H107" i="34" s="1"/>
  <c r="G106" i="34"/>
  <c r="H106" i="34" s="1"/>
  <c r="G105" i="34"/>
  <c r="H105" i="34" s="1"/>
  <c r="G104" i="34"/>
  <c r="H104" i="34" s="1"/>
  <c r="G103" i="34"/>
  <c r="H103" i="34" s="1"/>
  <c r="G102" i="34"/>
  <c r="H102" i="34" s="1"/>
  <c r="G101" i="34"/>
  <c r="H101" i="34" s="1"/>
  <c r="J87" i="34"/>
  <c r="D87" i="34"/>
  <c r="J86" i="34"/>
  <c r="D86" i="34"/>
  <c r="J85" i="34"/>
  <c r="D85" i="34"/>
  <c r="J84" i="34"/>
  <c r="D84" i="34"/>
  <c r="J83" i="34"/>
  <c r="D83" i="34"/>
  <c r="J82" i="34"/>
  <c r="D82" i="34"/>
  <c r="J81" i="34"/>
  <c r="D81" i="34"/>
  <c r="J80" i="34"/>
  <c r="D80" i="34"/>
  <c r="J79" i="34"/>
  <c r="D79" i="34"/>
  <c r="J78" i="34"/>
  <c r="D78" i="34"/>
  <c r="F73" i="34"/>
  <c r="E39" i="34"/>
  <c r="J110" i="34" s="1"/>
  <c r="E38" i="34"/>
  <c r="J109" i="34" s="1"/>
  <c r="E37" i="34"/>
  <c r="J108" i="34" s="1"/>
  <c r="E36" i="34"/>
  <c r="J107" i="34" s="1"/>
  <c r="E35" i="34"/>
  <c r="J106" i="34" s="1"/>
  <c r="E34" i="34"/>
  <c r="J105" i="34" s="1"/>
  <c r="E33" i="34"/>
  <c r="J104" i="34" s="1"/>
  <c r="E32" i="34"/>
  <c r="J103" i="34" s="1"/>
  <c r="E31" i="34"/>
  <c r="J102" i="34" s="1"/>
  <c r="E30" i="34"/>
  <c r="J101" i="34" s="1"/>
  <c r="Q10" i="34"/>
  <c r="P10" i="34"/>
  <c r="D281" i="28"/>
  <c r="D281" i="33"/>
  <c r="L236" i="33"/>
  <c r="L234" i="33"/>
  <c r="L233" i="33"/>
  <c r="L232" i="33"/>
  <c r="L230" i="33"/>
  <c r="L229" i="33"/>
  <c r="L228" i="33"/>
  <c r="L297" i="33"/>
  <c r="P297" i="33" s="1"/>
  <c r="I297" i="33"/>
  <c r="L296" i="33"/>
  <c r="P296" i="33" s="1"/>
  <c r="I296" i="33"/>
  <c r="L295" i="33"/>
  <c r="P295" i="33" s="1"/>
  <c r="I295" i="33"/>
  <c r="L294" i="33"/>
  <c r="P294" i="33" s="1"/>
  <c r="I294" i="33"/>
  <c r="L293" i="33"/>
  <c r="P293" i="33" s="1"/>
  <c r="I293" i="33"/>
  <c r="L292" i="33"/>
  <c r="P292" i="33" s="1"/>
  <c r="I292" i="33"/>
  <c r="L291" i="33"/>
  <c r="P291" i="33" s="1"/>
  <c r="I291" i="33"/>
  <c r="L290" i="33"/>
  <c r="P290" i="33" s="1"/>
  <c r="I290" i="33"/>
  <c r="L289" i="33"/>
  <c r="P289" i="33" s="1"/>
  <c r="I289" i="33"/>
  <c r="L288" i="33"/>
  <c r="P288" i="33" s="1"/>
  <c r="I288" i="33"/>
  <c r="B285" i="33"/>
  <c r="H284" i="33"/>
  <c r="I283" i="33"/>
  <c r="C281" i="33"/>
  <c r="B281" i="33"/>
  <c r="B280" i="33"/>
  <c r="E279" i="33"/>
  <c r="B279" i="33"/>
  <c r="E278" i="33"/>
  <c r="B278" i="33"/>
  <c r="B277" i="33"/>
  <c r="Q266" i="33"/>
  <c r="L266" i="33"/>
  <c r="Q265" i="33"/>
  <c r="L265" i="33"/>
  <c r="Q264" i="33"/>
  <c r="L264" i="33"/>
  <c r="Q263" i="33"/>
  <c r="L263" i="33"/>
  <c r="Q262" i="33"/>
  <c r="L262" i="33"/>
  <c r="Q261" i="33"/>
  <c r="L261" i="33"/>
  <c r="Q260" i="33"/>
  <c r="L260" i="33"/>
  <c r="Q259" i="33"/>
  <c r="L259" i="33"/>
  <c r="Q258" i="33"/>
  <c r="L258" i="33"/>
  <c r="B258" i="33"/>
  <c r="Q257" i="33"/>
  <c r="L257" i="33"/>
  <c r="B257" i="33"/>
  <c r="M257" i="33" s="1"/>
  <c r="B256" i="33"/>
  <c r="R250" i="33"/>
  <c r="R249" i="33"/>
  <c r="R248" i="33"/>
  <c r="R247" i="33"/>
  <c r="R246" i="33"/>
  <c r="R245" i="33"/>
  <c r="R244" i="33"/>
  <c r="R243" i="33"/>
  <c r="R242" i="33"/>
  <c r="L235" i="33"/>
  <c r="L231" i="33"/>
  <c r="B228" i="33"/>
  <c r="L227" i="33"/>
  <c r="B227" i="33"/>
  <c r="M227" i="33" s="1"/>
  <c r="B226" i="33"/>
  <c r="S225" i="33"/>
  <c r="I214" i="33"/>
  <c r="M214" i="33" s="1"/>
  <c r="Q203" i="33"/>
  <c r="R203" i="33" s="1"/>
  <c r="I194" i="33"/>
  <c r="G194" i="33"/>
  <c r="I193" i="33"/>
  <c r="G193" i="33"/>
  <c r="F265" i="33" s="1"/>
  <c r="G265" i="33" s="1"/>
  <c r="I192" i="33"/>
  <c r="G192" i="33"/>
  <c r="S192" i="33" s="1"/>
  <c r="I191" i="33"/>
  <c r="G191" i="33"/>
  <c r="I190" i="33"/>
  <c r="G190" i="33"/>
  <c r="I189" i="33"/>
  <c r="G189" i="33"/>
  <c r="F261" i="33" s="1"/>
  <c r="G261" i="33" s="1"/>
  <c r="I188" i="33"/>
  <c r="G188" i="33"/>
  <c r="I187" i="33"/>
  <c r="G187" i="33"/>
  <c r="J186" i="33"/>
  <c r="J187" i="33" s="1"/>
  <c r="J188" i="33" s="1"/>
  <c r="J189" i="33" s="1"/>
  <c r="J190" i="33" s="1"/>
  <c r="J191" i="33" s="1"/>
  <c r="I186" i="33"/>
  <c r="G186" i="33"/>
  <c r="L185" i="33"/>
  <c r="J288" i="33" s="1"/>
  <c r="I185" i="33"/>
  <c r="G185" i="33"/>
  <c r="H182" i="33"/>
  <c r="I179" i="33"/>
  <c r="G166" i="33"/>
  <c r="H166" i="33" s="1"/>
  <c r="G165" i="33"/>
  <c r="H165" i="33" s="1"/>
  <c r="G164" i="33"/>
  <c r="H164" i="33" s="1"/>
  <c r="G163" i="33"/>
  <c r="H163" i="33" s="1"/>
  <c r="G162" i="33"/>
  <c r="H162" i="33" s="1"/>
  <c r="G161" i="33"/>
  <c r="H161" i="33" s="1"/>
  <c r="G160" i="33"/>
  <c r="H160" i="33" s="1"/>
  <c r="G159" i="33"/>
  <c r="H159" i="33" s="1"/>
  <c r="G158" i="33"/>
  <c r="H158" i="33" s="1"/>
  <c r="G157" i="33"/>
  <c r="H157" i="33" s="1"/>
  <c r="J143" i="33"/>
  <c r="D143" i="33"/>
  <c r="J142" i="33"/>
  <c r="D142" i="33"/>
  <c r="J141" i="33"/>
  <c r="D141" i="33"/>
  <c r="J140" i="33"/>
  <c r="D140" i="33"/>
  <c r="J139" i="33"/>
  <c r="D139" i="33"/>
  <c r="J138" i="33"/>
  <c r="D138" i="33"/>
  <c r="J137" i="33"/>
  <c r="D137" i="33"/>
  <c r="J136" i="33"/>
  <c r="D136" i="33"/>
  <c r="J135" i="33"/>
  <c r="D135" i="33"/>
  <c r="J134" i="33"/>
  <c r="D134" i="33"/>
  <c r="E39" i="33"/>
  <c r="E38" i="33"/>
  <c r="E37" i="33"/>
  <c r="E36" i="33"/>
  <c r="E35" i="33"/>
  <c r="E34" i="33"/>
  <c r="E33" i="33"/>
  <c r="E32" i="33"/>
  <c r="E31" i="33"/>
  <c r="E30" i="33"/>
  <c r="C20" i="33"/>
  <c r="Q10" i="33"/>
  <c r="P10" i="33"/>
  <c r="I283" i="28"/>
  <c r="I179" i="28"/>
  <c r="J186" i="28"/>
  <c r="J187" i="28" s="1"/>
  <c r="J188" i="28" s="1"/>
  <c r="J189" i="28" s="1"/>
  <c r="J190" i="28" s="1"/>
  <c r="J191" i="28" s="1"/>
  <c r="J192" i="28" s="1"/>
  <c r="J193" i="28" s="1"/>
  <c r="J194" i="28" s="1"/>
  <c r="R244" i="28"/>
  <c r="I153" i="34" l="1"/>
  <c r="M153" i="34" s="1"/>
  <c r="I157" i="34"/>
  <c r="M157" i="34" s="1"/>
  <c r="S135" i="34"/>
  <c r="F202" i="34"/>
  <c r="G202" i="34" s="1"/>
  <c r="F127" i="33"/>
  <c r="H238" i="34"/>
  <c r="F70" i="34"/>
  <c r="I149" i="34"/>
  <c r="M149" i="34" s="1"/>
  <c r="E145" i="33"/>
  <c r="D145" i="33"/>
  <c r="E126" i="33"/>
  <c r="E128" i="33"/>
  <c r="M243" i="34"/>
  <c r="D20" i="34" s="1"/>
  <c r="D102" i="35"/>
  <c r="C102" i="35" s="1"/>
  <c r="D104" i="35"/>
  <c r="F132" i="35" s="1"/>
  <c r="D20" i="33"/>
  <c r="K82" i="35"/>
  <c r="K78" i="35"/>
  <c r="K80" i="35"/>
  <c r="D106" i="35"/>
  <c r="K83" i="35"/>
  <c r="D109" i="35"/>
  <c r="K86" i="35"/>
  <c r="J234" i="35"/>
  <c r="L132" i="35"/>
  <c r="F129" i="35"/>
  <c r="C101" i="35"/>
  <c r="J138" i="35"/>
  <c r="D107" i="35"/>
  <c r="K84" i="35"/>
  <c r="F133" i="35"/>
  <c r="C105" i="35"/>
  <c r="D108" i="35"/>
  <c r="K85" i="35"/>
  <c r="D110" i="35"/>
  <c r="K87" i="35"/>
  <c r="F131" i="35"/>
  <c r="C103" i="35"/>
  <c r="N202" i="34"/>
  <c r="O202" i="34" s="1"/>
  <c r="N180" i="34"/>
  <c r="O180" i="34" s="1"/>
  <c r="I152" i="34"/>
  <c r="M152" i="34" s="1"/>
  <c r="I156" i="34"/>
  <c r="M156" i="34" s="1"/>
  <c r="H202" i="34"/>
  <c r="N233" i="34" s="1"/>
  <c r="N205" i="34"/>
  <c r="O205" i="34" s="1"/>
  <c r="I151" i="34"/>
  <c r="M151" i="34" s="1"/>
  <c r="I155" i="34"/>
  <c r="M155" i="34" s="1"/>
  <c r="N201" i="34"/>
  <c r="O201" i="34" s="1"/>
  <c r="F209" i="34"/>
  <c r="G209" i="34" s="1"/>
  <c r="H209" i="34" s="1"/>
  <c r="N240" i="34" s="1"/>
  <c r="S137" i="34"/>
  <c r="S133" i="34"/>
  <c r="H233" i="34"/>
  <c r="F71" i="34"/>
  <c r="F72" i="34"/>
  <c r="J134" i="34"/>
  <c r="E73" i="34"/>
  <c r="E71" i="34"/>
  <c r="N171" i="34"/>
  <c r="O171" i="34" s="1"/>
  <c r="E72" i="34"/>
  <c r="F206" i="34"/>
  <c r="G206" i="34" s="1"/>
  <c r="H206" i="34" s="1"/>
  <c r="N237" i="34" s="1"/>
  <c r="H237" i="34"/>
  <c r="S134" i="34"/>
  <c r="H239" i="34"/>
  <c r="S136" i="34"/>
  <c r="F210" i="34"/>
  <c r="G210" i="34" s="1"/>
  <c r="H210" i="34" s="1"/>
  <c r="N241" i="34" s="1"/>
  <c r="S138" i="34"/>
  <c r="N172" i="34"/>
  <c r="O172" i="34" s="1"/>
  <c r="N204" i="34"/>
  <c r="O204" i="34" s="1"/>
  <c r="F208" i="34"/>
  <c r="G208" i="34" s="1"/>
  <c r="H208" i="34" s="1"/>
  <c r="N239" i="34" s="1"/>
  <c r="H241" i="34"/>
  <c r="E70" i="34"/>
  <c r="H232" i="34"/>
  <c r="F201" i="34"/>
  <c r="G201" i="34" s="1"/>
  <c r="H201" i="34" s="1"/>
  <c r="N232" i="34" s="1"/>
  <c r="L130" i="34"/>
  <c r="H203" i="34"/>
  <c r="N234" i="34" s="1"/>
  <c r="N174" i="34"/>
  <c r="O174" i="34" s="1"/>
  <c r="N179" i="34"/>
  <c r="O179" i="34" s="1"/>
  <c r="N203" i="34"/>
  <c r="O203" i="34" s="1"/>
  <c r="H207" i="34"/>
  <c r="N238" i="34" s="1"/>
  <c r="N208" i="34"/>
  <c r="O208" i="34" s="1"/>
  <c r="N176" i="34"/>
  <c r="O176" i="34" s="1"/>
  <c r="N177" i="34"/>
  <c r="O177" i="34" s="1"/>
  <c r="N178" i="34"/>
  <c r="O178" i="34" s="1"/>
  <c r="S131" i="34"/>
  <c r="S132" i="34"/>
  <c r="N175" i="34"/>
  <c r="O175" i="34" s="1"/>
  <c r="F204" i="34"/>
  <c r="G204" i="34" s="1"/>
  <c r="H204" i="34" s="1"/>
  <c r="N235" i="34" s="1"/>
  <c r="F205" i="34"/>
  <c r="G205" i="34" s="1"/>
  <c r="H205" i="34" s="1"/>
  <c r="N236" i="34" s="1"/>
  <c r="N207" i="34"/>
  <c r="O207" i="34" s="1"/>
  <c r="N173" i="34"/>
  <c r="O173" i="34" s="1"/>
  <c r="N210" i="34"/>
  <c r="O210" i="34" s="1"/>
  <c r="N206" i="34"/>
  <c r="O206" i="34" s="1"/>
  <c r="N209" i="34"/>
  <c r="O209" i="34" s="1"/>
  <c r="H234" i="34"/>
  <c r="I150" i="34"/>
  <c r="M150" i="34" s="1"/>
  <c r="I154" i="34"/>
  <c r="M154" i="34" s="1"/>
  <c r="N236" i="33"/>
  <c r="O236" i="33" s="1"/>
  <c r="N232" i="33"/>
  <c r="O232" i="33" s="1"/>
  <c r="N227" i="33"/>
  <c r="O227" i="33" s="1"/>
  <c r="N230" i="33"/>
  <c r="O230" i="33" s="1"/>
  <c r="I212" i="33"/>
  <c r="M212" i="33" s="1"/>
  <c r="I207" i="33"/>
  <c r="M207" i="33" s="1"/>
  <c r="N233" i="33"/>
  <c r="O233" i="33" s="1"/>
  <c r="I208" i="33"/>
  <c r="M208" i="33" s="1"/>
  <c r="N229" i="33"/>
  <c r="O229" i="33" s="1"/>
  <c r="I211" i="33"/>
  <c r="M211" i="33" s="1"/>
  <c r="N235" i="33"/>
  <c r="O235" i="33" s="1"/>
  <c r="F264" i="33"/>
  <c r="G264" i="33" s="1"/>
  <c r="H264" i="33" s="1"/>
  <c r="N295" i="33" s="1"/>
  <c r="F129" i="33"/>
  <c r="H288" i="33"/>
  <c r="F257" i="33"/>
  <c r="G257" i="33" s="1"/>
  <c r="H257" i="33" s="1"/>
  <c r="N288" i="33" s="1"/>
  <c r="S185" i="33"/>
  <c r="H261" i="33"/>
  <c r="N292" i="33" s="1"/>
  <c r="F263" i="33"/>
  <c r="G263" i="33" s="1"/>
  <c r="H263" i="33" s="1"/>
  <c r="N294" i="33" s="1"/>
  <c r="S191" i="33"/>
  <c r="H294" i="33"/>
  <c r="H293" i="33"/>
  <c r="F262" i="33"/>
  <c r="G262" i="33" s="1"/>
  <c r="H262" i="33" s="1"/>
  <c r="N293" i="33" s="1"/>
  <c r="S190" i="33"/>
  <c r="N261" i="33"/>
  <c r="O261" i="33" s="1"/>
  <c r="R261" i="33" s="1"/>
  <c r="N264" i="33"/>
  <c r="O264" i="33" s="1"/>
  <c r="R264" i="33" s="1"/>
  <c r="N265" i="33"/>
  <c r="O265" i="33" s="1"/>
  <c r="R265" i="33" s="1"/>
  <c r="N260" i="33"/>
  <c r="O260" i="33" s="1"/>
  <c r="R260" i="33" s="1"/>
  <c r="J192" i="33"/>
  <c r="S188" i="33"/>
  <c r="F260" i="33"/>
  <c r="G260" i="33" s="1"/>
  <c r="H260" i="33" s="1"/>
  <c r="N291" i="33" s="1"/>
  <c r="N266" i="33"/>
  <c r="O266" i="33" s="1"/>
  <c r="R266" i="33" s="1"/>
  <c r="E129" i="33"/>
  <c r="E127" i="33"/>
  <c r="F128" i="33"/>
  <c r="F126" i="33"/>
  <c r="H289" i="33"/>
  <c r="F258" i="33"/>
  <c r="G258" i="33" s="1"/>
  <c r="H258" i="33" s="1"/>
  <c r="N289" i="33" s="1"/>
  <c r="S186" i="33"/>
  <c r="F259" i="33"/>
  <c r="G259" i="33" s="1"/>
  <c r="H259" i="33" s="1"/>
  <c r="N290" i="33" s="1"/>
  <c r="S187" i="33"/>
  <c r="H297" i="33"/>
  <c r="F266" i="33"/>
  <c r="G266" i="33" s="1"/>
  <c r="H266" i="33" s="1"/>
  <c r="N297" i="33" s="1"/>
  <c r="S194" i="33"/>
  <c r="N259" i="33"/>
  <c r="O259" i="33" s="1"/>
  <c r="R259" i="33" s="1"/>
  <c r="H290" i="33"/>
  <c r="L186" i="33"/>
  <c r="N258" i="33"/>
  <c r="O258" i="33" s="1"/>
  <c r="R258" i="33" s="1"/>
  <c r="H265" i="33"/>
  <c r="N296" i="33" s="1"/>
  <c r="H291" i="33"/>
  <c r="N234" i="33"/>
  <c r="O234" i="33" s="1"/>
  <c r="N257" i="33"/>
  <c r="O257" i="33" s="1"/>
  <c r="R257" i="33" s="1"/>
  <c r="N262" i="33"/>
  <c r="O262" i="33" s="1"/>
  <c r="R262" i="33" s="1"/>
  <c r="N263" i="33"/>
  <c r="O263" i="33" s="1"/>
  <c r="R263" i="33" s="1"/>
  <c r="H292" i="33"/>
  <c r="S189" i="33"/>
  <c r="H296" i="33"/>
  <c r="S193" i="33"/>
  <c r="N228" i="33"/>
  <c r="O228" i="33" s="1"/>
  <c r="N231" i="33"/>
  <c r="O231" i="33" s="1"/>
  <c r="H295" i="33"/>
  <c r="I205" i="33"/>
  <c r="M205" i="33" s="1"/>
  <c r="I209" i="33"/>
  <c r="M209" i="33" s="1"/>
  <c r="I213" i="33"/>
  <c r="M213" i="33" s="1"/>
  <c r="I206" i="33"/>
  <c r="M206" i="33" s="1"/>
  <c r="I210" i="33"/>
  <c r="M210" i="33" s="1"/>
  <c r="S225" i="28"/>
  <c r="L186" i="28"/>
  <c r="L187" i="28" s="1"/>
  <c r="L188" i="28" s="1"/>
  <c r="L189" i="28" s="1"/>
  <c r="L190" i="28" s="1"/>
  <c r="L191" i="28" s="1"/>
  <c r="L192" i="28" s="1"/>
  <c r="L193" i="28" s="1"/>
  <c r="L194" i="28" s="1"/>
  <c r="F86" i="34" l="1"/>
  <c r="I86" i="34" s="1"/>
  <c r="C104" i="35"/>
  <c r="F87" i="34"/>
  <c r="I87" i="34" s="1"/>
  <c r="D110" i="34" s="1"/>
  <c r="F85" i="34"/>
  <c r="I85" i="34" s="1"/>
  <c r="D108" i="34" s="1"/>
  <c r="F130" i="35"/>
  <c r="G233" i="35" s="1"/>
  <c r="F233" i="35" s="1"/>
  <c r="F84" i="34"/>
  <c r="I84" i="34" s="1"/>
  <c r="D107" i="34" s="1"/>
  <c r="F83" i="34"/>
  <c r="I83" i="34" s="1"/>
  <c r="K83" i="34" s="1"/>
  <c r="E135" i="33"/>
  <c r="I135" i="33" s="1"/>
  <c r="J235" i="35"/>
  <c r="L133" i="35"/>
  <c r="D133" i="35" s="1"/>
  <c r="M103" i="35"/>
  <c r="F103" i="35"/>
  <c r="F138" i="35"/>
  <c r="C110" i="35"/>
  <c r="M102" i="35"/>
  <c r="F102" i="35"/>
  <c r="F136" i="35"/>
  <c r="C108" i="35"/>
  <c r="F134" i="35"/>
  <c r="C106" i="35"/>
  <c r="G234" i="35"/>
  <c r="F234" i="35" s="1"/>
  <c r="F173" i="35"/>
  <c r="G173" i="35" s="1"/>
  <c r="H173" i="35" s="1"/>
  <c r="M234" i="35" s="1"/>
  <c r="E131" i="35"/>
  <c r="D131" i="35"/>
  <c r="M104" i="35"/>
  <c r="F104" i="35"/>
  <c r="F172" i="35"/>
  <c r="G172" i="35" s="1"/>
  <c r="H172" i="35" s="1"/>
  <c r="M233" i="35" s="1"/>
  <c r="M105" i="35"/>
  <c r="F105" i="35"/>
  <c r="F135" i="35"/>
  <c r="C107" i="35"/>
  <c r="F101" i="35"/>
  <c r="M101" i="35"/>
  <c r="F174" i="35"/>
  <c r="G174" i="35" s="1"/>
  <c r="H174" i="35" s="1"/>
  <c r="M235" i="35" s="1"/>
  <c r="E132" i="35"/>
  <c r="G235" i="35"/>
  <c r="D132" i="35"/>
  <c r="G236" i="35"/>
  <c r="F175" i="35"/>
  <c r="G175" i="35" s="1"/>
  <c r="H175" i="35" s="1"/>
  <c r="M236" i="35" s="1"/>
  <c r="E133" i="35"/>
  <c r="G232" i="35"/>
  <c r="F232" i="35" s="1"/>
  <c r="F171" i="35"/>
  <c r="G171" i="35" s="1"/>
  <c r="H171" i="35" s="1"/>
  <c r="M232" i="35" s="1"/>
  <c r="D129" i="35"/>
  <c r="E129" i="35"/>
  <c r="F137" i="35"/>
  <c r="C109" i="35"/>
  <c r="K87" i="34"/>
  <c r="E80" i="34"/>
  <c r="I80" i="34" s="1"/>
  <c r="E79" i="34"/>
  <c r="I79" i="34" s="1"/>
  <c r="E78" i="34"/>
  <c r="I78" i="34" s="1"/>
  <c r="E82" i="34"/>
  <c r="I82" i="34" s="1"/>
  <c r="E81" i="34"/>
  <c r="I81" i="34" s="1"/>
  <c r="D109" i="34"/>
  <c r="K86" i="34"/>
  <c r="D106" i="34"/>
  <c r="J233" i="34"/>
  <c r="L131" i="34"/>
  <c r="J135" i="34"/>
  <c r="E138" i="33"/>
  <c r="I138" i="33" s="1"/>
  <c r="K138" i="33" s="1"/>
  <c r="E134" i="33"/>
  <c r="I134" i="33" s="1"/>
  <c r="D157" i="33" s="1"/>
  <c r="U157" i="33" s="1"/>
  <c r="E136" i="33"/>
  <c r="I136" i="33" s="1"/>
  <c r="E137" i="33"/>
  <c r="I137" i="33" s="1"/>
  <c r="F142" i="33"/>
  <c r="I142" i="33" s="1"/>
  <c r="F143" i="33"/>
  <c r="I143" i="33" s="1"/>
  <c r="F139" i="33"/>
  <c r="I139" i="33" s="1"/>
  <c r="F140" i="33"/>
  <c r="I140" i="33" s="1"/>
  <c r="F141" i="33"/>
  <c r="I141" i="33" s="1"/>
  <c r="J289" i="33"/>
  <c r="L187" i="33"/>
  <c r="J193" i="33"/>
  <c r="D130" i="35" l="1"/>
  <c r="E130" i="35"/>
  <c r="K85" i="34"/>
  <c r="F235" i="35"/>
  <c r="K84" i="34"/>
  <c r="E232" i="35"/>
  <c r="K232" i="35" s="1"/>
  <c r="H129" i="35"/>
  <c r="C133" i="35"/>
  <c r="R133" i="35"/>
  <c r="D236" i="35"/>
  <c r="D235" i="35"/>
  <c r="C132" i="35"/>
  <c r="R132" i="35"/>
  <c r="P171" i="35"/>
  <c r="Q171" i="35" s="1"/>
  <c r="R171" i="35" s="1"/>
  <c r="S171" i="35" s="1"/>
  <c r="N101" i="35"/>
  <c r="O101" i="35" s="1"/>
  <c r="G238" i="35"/>
  <c r="E135" i="35"/>
  <c r="F177" i="35"/>
  <c r="G177" i="35" s="1"/>
  <c r="H177" i="35" s="1"/>
  <c r="M238" i="35" s="1"/>
  <c r="P174" i="35"/>
  <c r="Q174" i="35" s="1"/>
  <c r="R174" i="35" s="1"/>
  <c r="S174" i="35" s="1"/>
  <c r="N104" i="35"/>
  <c r="O104" i="35" s="1"/>
  <c r="M108" i="35"/>
  <c r="F108" i="35"/>
  <c r="P172" i="35"/>
  <c r="Q172" i="35" s="1"/>
  <c r="R172" i="35" s="1"/>
  <c r="S172" i="35" s="1"/>
  <c r="N102" i="35"/>
  <c r="O102" i="35" s="1"/>
  <c r="K103" i="35"/>
  <c r="P103" i="35"/>
  <c r="Q103" i="35" s="1"/>
  <c r="M109" i="35"/>
  <c r="F109" i="35"/>
  <c r="R129" i="35"/>
  <c r="D232" i="35"/>
  <c r="C129" i="35"/>
  <c r="E236" i="35"/>
  <c r="K236" i="35" s="1"/>
  <c r="H133" i="35"/>
  <c r="K101" i="35"/>
  <c r="P101" i="35"/>
  <c r="Q101" i="35" s="1"/>
  <c r="K105" i="35"/>
  <c r="P105" i="35"/>
  <c r="Q105" i="35" s="1"/>
  <c r="H130" i="35"/>
  <c r="E233" i="35"/>
  <c r="K233" i="35" s="1"/>
  <c r="D234" i="35"/>
  <c r="C131" i="35"/>
  <c r="R131" i="35"/>
  <c r="M106" i="35"/>
  <c r="F106" i="35"/>
  <c r="M110" i="35"/>
  <c r="F110" i="35"/>
  <c r="P173" i="35"/>
  <c r="Q173" i="35" s="1"/>
  <c r="R173" i="35" s="1"/>
  <c r="S173" i="35" s="1"/>
  <c r="N103" i="35"/>
  <c r="O103" i="35" s="1"/>
  <c r="E235" i="35"/>
  <c r="K235" i="35" s="1"/>
  <c r="H132" i="35"/>
  <c r="M107" i="35"/>
  <c r="F107" i="35"/>
  <c r="P175" i="35"/>
  <c r="Q175" i="35" s="1"/>
  <c r="R175" i="35" s="1"/>
  <c r="S175" i="35" s="1"/>
  <c r="N105" i="35"/>
  <c r="O105" i="35" s="1"/>
  <c r="E234" i="35"/>
  <c r="K234" i="35" s="1"/>
  <c r="H131" i="35"/>
  <c r="G237" i="35"/>
  <c r="F176" i="35"/>
  <c r="G176" i="35" s="1"/>
  <c r="H176" i="35" s="1"/>
  <c r="M237" i="35" s="1"/>
  <c r="E134" i="35"/>
  <c r="F178" i="35"/>
  <c r="G178" i="35" s="1"/>
  <c r="H178" i="35" s="1"/>
  <c r="M239" i="35" s="1"/>
  <c r="G239" i="35"/>
  <c r="E136" i="35"/>
  <c r="L134" i="35"/>
  <c r="D134" i="35" s="1"/>
  <c r="J236" i="35"/>
  <c r="F236" i="35" s="1"/>
  <c r="G240" i="35"/>
  <c r="F179" i="35"/>
  <c r="G179" i="35" s="1"/>
  <c r="H179" i="35" s="1"/>
  <c r="M240" i="35" s="1"/>
  <c r="E137" i="35"/>
  <c r="D233" i="35"/>
  <c r="C130" i="35"/>
  <c r="R130" i="35"/>
  <c r="K104" i="35"/>
  <c r="P104" i="35"/>
  <c r="Q104" i="35" s="1"/>
  <c r="K102" i="35"/>
  <c r="P102" i="35"/>
  <c r="Q102" i="35" s="1"/>
  <c r="F180" i="35"/>
  <c r="G180" i="35" s="1"/>
  <c r="H180" i="35" s="1"/>
  <c r="M241" i="35" s="1"/>
  <c r="G241" i="35"/>
  <c r="E138" i="35"/>
  <c r="J136" i="34"/>
  <c r="J234" i="34"/>
  <c r="L132" i="34"/>
  <c r="D105" i="34"/>
  <c r="K82" i="34"/>
  <c r="D101" i="34"/>
  <c r="K78" i="34"/>
  <c r="F138" i="34"/>
  <c r="C110" i="34"/>
  <c r="C107" i="34"/>
  <c r="F135" i="34"/>
  <c r="C109" i="34"/>
  <c r="F137" i="34"/>
  <c r="D102" i="34"/>
  <c r="K79" i="34"/>
  <c r="F136" i="34"/>
  <c r="C108" i="34"/>
  <c r="F134" i="34"/>
  <c r="C106" i="34"/>
  <c r="D104" i="34"/>
  <c r="K81" i="34"/>
  <c r="D103" i="34"/>
  <c r="K80" i="34"/>
  <c r="D161" i="33"/>
  <c r="K139" i="33"/>
  <c r="D162" i="33"/>
  <c r="U162" i="33" s="1"/>
  <c r="J194" i="33"/>
  <c r="K143" i="33"/>
  <c r="D166" i="33"/>
  <c r="U166" i="33" s="1"/>
  <c r="K137" i="33"/>
  <c r="D160" i="33"/>
  <c r="U160" i="33" s="1"/>
  <c r="K134" i="33"/>
  <c r="J290" i="33"/>
  <c r="L188" i="33"/>
  <c r="K141" i="33"/>
  <c r="D164" i="33"/>
  <c r="U164" i="33" s="1"/>
  <c r="K142" i="33"/>
  <c r="D165" i="33"/>
  <c r="U165" i="33" s="1"/>
  <c r="K136" i="33"/>
  <c r="D159" i="33"/>
  <c r="U159" i="33" s="1"/>
  <c r="K140" i="33"/>
  <c r="D163" i="33"/>
  <c r="U163" i="33" s="1"/>
  <c r="K135" i="33"/>
  <c r="D158" i="33"/>
  <c r="U158" i="33" s="1"/>
  <c r="H182" i="28"/>
  <c r="F189" i="33" l="1"/>
  <c r="G292" i="33" s="1"/>
  <c r="U161" i="33"/>
  <c r="C161" i="33"/>
  <c r="M161" i="33" s="1"/>
  <c r="E239" i="35"/>
  <c r="K239" i="35" s="1"/>
  <c r="H136" i="35"/>
  <c r="D237" i="35"/>
  <c r="C134" i="35"/>
  <c r="R134" i="35"/>
  <c r="K107" i="35"/>
  <c r="P107" i="35"/>
  <c r="Q107" i="35" s="1"/>
  <c r="K106" i="35"/>
  <c r="P106" i="35"/>
  <c r="Q106" i="35" s="1"/>
  <c r="K109" i="35"/>
  <c r="P109" i="35"/>
  <c r="Q109" i="35" s="1"/>
  <c r="E238" i="35"/>
  <c r="K238" i="35" s="1"/>
  <c r="H135" i="35"/>
  <c r="H134" i="35"/>
  <c r="E237" i="35"/>
  <c r="K237" i="35" s="1"/>
  <c r="P177" i="35"/>
  <c r="Q177" i="35" s="1"/>
  <c r="R177" i="35" s="1"/>
  <c r="S177" i="35" s="1"/>
  <c r="N107" i="35"/>
  <c r="O107" i="35" s="1"/>
  <c r="P176" i="35"/>
  <c r="Q176" i="35" s="1"/>
  <c r="R176" i="35" s="1"/>
  <c r="S176" i="35" s="1"/>
  <c r="N106" i="35"/>
  <c r="O106" i="35" s="1"/>
  <c r="C232" i="35"/>
  <c r="P149" i="35"/>
  <c r="Q149" i="35" s="1"/>
  <c r="R149" i="35" s="1"/>
  <c r="P179" i="35"/>
  <c r="Q179" i="35" s="1"/>
  <c r="R179" i="35" s="1"/>
  <c r="S179" i="35" s="1"/>
  <c r="N109" i="35"/>
  <c r="O109" i="35" s="1"/>
  <c r="C235" i="35"/>
  <c r="P152" i="35"/>
  <c r="Q152" i="35" s="1"/>
  <c r="R152" i="35" s="1"/>
  <c r="C236" i="35"/>
  <c r="P153" i="35"/>
  <c r="Q153" i="35" s="1"/>
  <c r="R153" i="35" s="1"/>
  <c r="E241" i="35"/>
  <c r="K241" i="35" s="1"/>
  <c r="H138" i="35"/>
  <c r="K110" i="35"/>
  <c r="P110" i="35"/>
  <c r="Q110" i="35" s="1"/>
  <c r="K108" i="35"/>
  <c r="P108" i="35"/>
  <c r="Q108" i="35" s="1"/>
  <c r="C233" i="35"/>
  <c r="P150" i="35"/>
  <c r="Q150" i="35" s="1"/>
  <c r="R150" i="35" s="1"/>
  <c r="E240" i="35"/>
  <c r="K240" i="35" s="1"/>
  <c r="H137" i="35"/>
  <c r="J237" i="35"/>
  <c r="F237" i="35" s="1"/>
  <c r="L135" i="35"/>
  <c r="P180" i="35"/>
  <c r="Q180" i="35" s="1"/>
  <c r="R180" i="35" s="1"/>
  <c r="S180" i="35" s="1"/>
  <c r="N110" i="35"/>
  <c r="O110" i="35" s="1"/>
  <c r="C234" i="35"/>
  <c r="P151" i="35"/>
  <c r="Q151" i="35" s="1"/>
  <c r="R151" i="35" s="1"/>
  <c r="P178" i="35"/>
  <c r="Q178" i="35" s="1"/>
  <c r="R178" i="35" s="1"/>
  <c r="S178" i="35" s="1"/>
  <c r="N108" i="35"/>
  <c r="O108" i="35" s="1"/>
  <c r="G237" i="34"/>
  <c r="E134" i="34"/>
  <c r="F176" i="34"/>
  <c r="G176" i="34" s="1"/>
  <c r="H176" i="34" s="1"/>
  <c r="M237" i="34" s="1"/>
  <c r="M110" i="34"/>
  <c r="F110" i="34"/>
  <c r="F129" i="34"/>
  <c r="C101" i="34"/>
  <c r="F132" i="34"/>
  <c r="C104" i="34"/>
  <c r="M108" i="34"/>
  <c r="F108" i="34"/>
  <c r="F130" i="34"/>
  <c r="C102" i="34"/>
  <c r="F177" i="34"/>
  <c r="G177" i="34" s="1"/>
  <c r="H177" i="34" s="1"/>
  <c r="M238" i="34" s="1"/>
  <c r="E135" i="34"/>
  <c r="G238" i="34"/>
  <c r="M106" i="34"/>
  <c r="F106" i="34"/>
  <c r="G240" i="34"/>
  <c r="F179" i="34"/>
  <c r="G179" i="34" s="1"/>
  <c r="H179" i="34" s="1"/>
  <c r="M240" i="34" s="1"/>
  <c r="E137" i="34"/>
  <c r="M107" i="34"/>
  <c r="F107" i="34"/>
  <c r="G241" i="34"/>
  <c r="E138" i="34"/>
  <c r="F180" i="34"/>
  <c r="G180" i="34" s="1"/>
  <c r="H180" i="34" s="1"/>
  <c r="M241" i="34" s="1"/>
  <c r="C105" i="34"/>
  <c r="F133" i="34"/>
  <c r="J137" i="34"/>
  <c r="F131" i="34"/>
  <c r="C103" i="34"/>
  <c r="E136" i="34"/>
  <c r="F178" i="34"/>
  <c r="G178" i="34" s="1"/>
  <c r="H178" i="34" s="1"/>
  <c r="M239" i="34" s="1"/>
  <c r="G239" i="34"/>
  <c r="M109" i="34"/>
  <c r="F109" i="34"/>
  <c r="L133" i="34"/>
  <c r="J235" i="34"/>
  <c r="F193" i="33"/>
  <c r="C165" i="33"/>
  <c r="J291" i="33"/>
  <c r="L189" i="33"/>
  <c r="F188" i="33"/>
  <c r="D188" i="33" s="1"/>
  <c r="C160" i="33"/>
  <c r="F191" i="33"/>
  <c r="C163" i="33"/>
  <c r="F187" i="33"/>
  <c r="D187" i="33" s="1"/>
  <c r="C159" i="33"/>
  <c r="F192" i="33"/>
  <c r="C164" i="33"/>
  <c r="F194" i="33"/>
  <c r="C166" i="33"/>
  <c r="F190" i="33"/>
  <c r="C162" i="33"/>
  <c r="F186" i="33"/>
  <c r="D186" i="33" s="1"/>
  <c r="C158" i="33"/>
  <c r="C157" i="33"/>
  <c r="F185" i="33"/>
  <c r="D185" i="33" s="1"/>
  <c r="C281" i="28"/>
  <c r="J87" i="23"/>
  <c r="D87" i="23"/>
  <c r="J86" i="23"/>
  <c r="D86" i="23"/>
  <c r="J85" i="23"/>
  <c r="D85" i="23"/>
  <c r="J84" i="23"/>
  <c r="D84" i="23"/>
  <c r="J83" i="23"/>
  <c r="D83" i="23"/>
  <c r="J82" i="23"/>
  <c r="D82" i="23"/>
  <c r="J81" i="23"/>
  <c r="D81" i="23"/>
  <c r="J80" i="23"/>
  <c r="D80" i="23"/>
  <c r="J79" i="23"/>
  <c r="D79" i="23"/>
  <c r="J78" i="23"/>
  <c r="D78" i="23"/>
  <c r="J87" i="17"/>
  <c r="D87" i="17"/>
  <c r="J86" i="17"/>
  <c r="D86" i="17"/>
  <c r="J85" i="17"/>
  <c r="D85" i="17"/>
  <c r="F71" i="17" s="1"/>
  <c r="J84" i="17"/>
  <c r="D84" i="17"/>
  <c r="J83" i="17"/>
  <c r="D83" i="17"/>
  <c r="F73" i="17" s="1"/>
  <c r="J82" i="17"/>
  <c r="D82" i="17"/>
  <c r="J81" i="17"/>
  <c r="D81" i="17"/>
  <c r="J80" i="17"/>
  <c r="D80" i="17"/>
  <c r="J79" i="17"/>
  <c r="D79" i="17"/>
  <c r="J78" i="17"/>
  <c r="D78" i="17"/>
  <c r="J87" i="24"/>
  <c r="D87" i="24"/>
  <c r="J86" i="24"/>
  <c r="D86" i="24"/>
  <c r="J85" i="24"/>
  <c r="D85" i="24"/>
  <c r="J84" i="24"/>
  <c r="D84" i="24"/>
  <c r="J83" i="24"/>
  <c r="D83" i="24"/>
  <c r="J82" i="24"/>
  <c r="D82" i="24"/>
  <c r="J81" i="24"/>
  <c r="D81" i="24"/>
  <c r="J80" i="24"/>
  <c r="D80" i="24"/>
  <c r="J79" i="24"/>
  <c r="D79" i="24"/>
  <c r="J78" i="24"/>
  <c r="D78" i="24"/>
  <c r="F72" i="23" l="1"/>
  <c r="E189" i="33"/>
  <c r="F231" i="33"/>
  <c r="G231" i="33" s="1"/>
  <c r="H231" i="33" s="1"/>
  <c r="M292" i="33" s="1"/>
  <c r="F70" i="23"/>
  <c r="F70" i="24"/>
  <c r="F73" i="23"/>
  <c r="E73" i="23"/>
  <c r="F72" i="17"/>
  <c r="F73" i="24"/>
  <c r="E73" i="17"/>
  <c r="D189" i="33"/>
  <c r="F72" i="24"/>
  <c r="E73" i="24"/>
  <c r="F161" i="33"/>
  <c r="K161" i="33" s="1"/>
  <c r="J238" i="35"/>
  <c r="F238" i="35" s="1"/>
  <c r="L136" i="35"/>
  <c r="D135" i="35"/>
  <c r="C237" i="35"/>
  <c r="P154" i="35"/>
  <c r="Q154" i="35" s="1"/>
  <c r="R154" i="35" s="1"/>
  <c r="F173" i="34"/>
  <c r="G173" i="34" s="1"/>
  <c r="H173" i="34" s="1"/>
  <c r="M234" i="34" s="1"/>
  <c r="G234" i="34"/>
  <c r="F234" i="34" s="1"/>
  <c r="E131" i="34"/>
  <c r="D131" i="34"/>
  <c r="E241" i="34"/>
  <c r="K241" i="34" s="1"/>
  <c r="H138" i="34"/>
  <c r="K106" i="34"/>
  <c r="P106" i="34"/>
  <c r="Q106" i="34" s="1"/>
  <c r="E238" i="34"/>
  <c r="K238" i="34" s="1"/>
  <c r="H135" i="34"/>
  <c r="G233" i="34"/>
  <c r="F233" i="34" s="1"/>
  <c r="F172" i="34"/>
  <c r="G172" i="34" s="1"/>
  <c r="H172" i="34" s="1"/>
  <c r="M233" i="34" s="1"/>
  <c r="E130" i="34"/>
  <c r="D130" i="34"/>
  <c r="G232" i="34"/>
  <c r="F232" i="34" s="1"/>
  <c r="E129" i="34"/>
  <c r="F171" i="34"/>
  <c r="G171" i="34" s="1"/>
  <c r="H171" i="34" s="1"/>
  <c r="M232" i="34" s="1"/>
  <c r="D129" i="34"/>
  <c r="R129" i="34" s="1"/>
  <c r="E239" i="34"/>
  <c r="K239" i="34" s="1"/>
  <c r="H136" i="34"/>
  <c r="P108" i="34"/>
  <c r="Q108" i="34" s="1"/>
  <c r="K108" i="34"/>
  <c r="K110" i="34"/>
  <c r="P110" i="34"/>
  <c r="Q110" i="34" s="1"/>
  <c r="E237" i="34"/>
  <c r="K237" i="34" s="1"/>
  <c r="H134" i="34"/>
  <c r="J236" i="34"/>
  <c r="L134" i="34"/>
  <c r="G236" i="34"/>
  <c r="F175" i="34"/>
  <c r="G175" i="34" s="1"/>
  <c r="H175" i="34" s="1"/>
  <c r="M236" i="34" s="1"/>
  <c r="E133" i="34"/>
  <c r="D133" i="34"/>
  <c r="P177" i="34"/>
  <c r="Q177" i="34" s="1"/>
  <c r="R177" i="34" s="1"/>
  <c r="S177" i="34" s="1"/>
  <c r="N107" i="34"/>
  <c r="O107" i="34" s="1"/>
  <c r="M104" i="34"/>
  <c r="F104" i="34"/>
  <c r="K109" i="34"/>
  <c r="P109" i="34"/>
  <c r="Q109" i="34" s="1"/>
  <c r="M105" i="34"/>
  <c r="F105" i="34"/>
  <c r="P179" i="34"/>
  <c r="Q179" i="34" s="1"/>
  <c r="R179" i="34" s="1"/>
  <c r="S179" i="34" s="1"/>
  <c r="N109" i="34"/>
  <c r="O109" i="34" s="1"/>
  <c r="E240" i="34"/>
  <c r="K240" i="34" s="1"/>
  <c r="H137" i="34"/>
  <c r="P176" i="34"/>
  <c r="Q176" i="34" s="1"/>
  <c r="R176" i="34" s="1"/>
  <c r="S176" i="34" s="1"/>
  <c r="N106" i="34"/>
  <c r="O106" i="34" s="1"/>
  <c r="G235" i="34"/>
  <c r="F235" i="34" s="1"/>
  <c r="D132" i="34"/>
  <c r="F174" i="34"/>
  <c r="G174" i="34" s="1"/>
  <c r="H174" i="34" s="1"/>
  <c r="M235" i="34" s="1"/>
  <c r="E132" i="34"/>
  <c r="M103" i="34"/>
  <c r="F103" i="34"/>
  <c r="J138" i="34"/>
  <c r="P107" i="34"/>
  <c r="Q107" i="34" s="1"/>
  <c r="K107" i="34"/>
  <c r="M102" i="34"/>
  <c r="F102" i="34"/>
  <c r="P178" i="34"/>
  <c r="Q178" i="34" s="1"/>
  <c r="R178" i="34" s="1"/>
  <c r="S178" i="34" s="1"/>
  <c r="N108" i="34"/>
  <c r="O108" i="34" s="1"/>
  <c r="M101" i="34"/>
  <c r="F101" i="34"/>
  <c r="P180" i="34"/>
  <c r="Q180" i="34" s="1"/>
  <c r="R180" i="34" s="1"/>
  <c r="S180" i="34" s="1"/>
  <c r="N110" i="34"/>
  <c r="O110" i="34" s="1"/>
  <c r="G289" i="33"/>
  <c r="F289" i="33" s="1"/>
  <c r="E186" i="33"/>
  <c r="F228" i="33"/>
  <c r="G228" i="33" s="1"/>
  <c r="H228" i="33" s="1"/>
  <c r="M289" i="33" s="1"/>
  <c r="M166" i="33"/>
  <c r="F166" i="33"/>
  <c r="F229" i="33"/>
  <c r="G229" i="33" s="1"/>
  <c r="H229" i="33" s="1"/>
  <c r="M290" i="33" s="1"/>
  <c r="G290" i="33"/>
  <c r="F290" i="33" s="1"/>
  <c r="E187" i="33"/>
  <c r="M160" i="33"/>
  <c r="F160" i="33"/>
  <c r="F227" i="33"/>
  <c r="G227" i="33" s="1"/>
  <c r="H227" i="33" s="1"/>
  <c r="M288" i="33" s="1"/>
  <c r="E185" i="33"/>
  <c r="G288" i="33"/>
  <c r="F288" i="33" s="1"/>
  <c r="P231" i="33"/>
  <c r="Q231" i="33" s="1"/>
  <c r="R231" i="33" s="1"/>
  <c r="N161" i="33"/>
  <c r="O161" i="33" s="1"/>
  <c r="M162" i="33"/>
  <c r="F162" i="33"/>
  <c r="E192" i="33"/>
  <c r="G295" i="33"/>
  <c r="F234" i="33"/>
  <c r="G234" i="33" s="1"/>
  <c r="H234" i="33" s="1"/>
  <c r="M295" i="33" s="1"/>
  <c r="D292" i="33"/>
  <c r="R189" i="33"/>
  <c r="C189" i="33"/>
  <c r="M163" i="33"/>
  <c r="F163" i="33"/>
  <c r="M165" i="33"/>
  <c r="F165" i="33"/>
  <c r="M157" i="33"/>
  <c r="F157" i="33"/>
  <c r="M158" i="33"/>
  <c r="F158" i="33"/>
  <c r="G297" i="33"/>
  <c r="E194" i="33"/>
  <c r="F236" i="33"/>
  <c r="G236" i="33" s="1"/>
  <c r="H236" i="33" s="1"/>
  <c r="M297" i="33" s="1"/>
  <c r="M159" i="33"/>
  <c r="F159" i="33"/>
  <c r="E292" i="33"/>
  <c r="K292" i="33" s="1"/>
  <c r="H189" i="33"/>
  <c r="F230" i="33"/>
  <c r="G230" i="33" s="1"/>
  <c r="H230" i="33" s="1"/>
  <c r="M291" i="33" s="1"/>
  <c r="E188" i="33"/>
  <c r="G291" i="33"/>
  <c r="F291" i="33" s="1"/>
  <c r="G293" i="33"/>
  <c r="E190" i="33"/>
  <c r="F232" i="33"/>
  <c r="G232" i="33" s="1"/>
  <c r="H232" i="33" s="1"/>
  <c r="M293" i="33" s="1"/>
  <c r="M164" i="33"/>
  <c r="F164" i="33"/>
  <c r="F233" i="33"/>
  <c r="G233" i="33" s="1"/>
  <c r="H233" i="33" s="1"/>
  <c r="M294" i="33" s="1"/>
  <c r="E191" i="33"/>
  <c r="G294" i="33"/>
  <c r="J292" i="33"/>
  <c r="F292" i="33" s="1"/>
  <c r="L190" i="33"/>
  <c r="D190" i="33" s="1"/>
  <c r="F235" i="33"/>
  <c r="G235" i="33" s="1"/>
  <c r="H235" i="33" s="1"/>
  <c r="M296" i="33" s="1"/>
  <c r="E193" i="33"/>
  <c r="G296" i="33"/>
  <c r="F71" i="23"/>
  <c r="E70" i="23"/>
  <c r="E72" i="23"/>
  <c r="E71" i="23"/>
  <c r="E70" i="17"/>
  <c r="E72" i="17"/>
  <c r="F70" i="17"/>
  <c r="E71" i="17"/>
  <c r="F71" i="24"/>
  <c r="F87" i="24" s="1"/>
  <c r="I87" i="24" s="1"/>
  <c r="K87" i="24" s="1"/>
  <c r="E70" i="24"/>
  <c r="E72" i="24"/>
  <c r="E71" i="24"/>
  <c r="L297" i="28"/>
  <c r="P297" i="28" s="1"/>
  <c r="I297" i="28"/>
  <c r="L296" i="28"/>
  <c r="P296" i="28" s="1"/>
  <c r="I296" i="28"/>
  <c r="L295" i="28"/>
  <c r="P295" i="28" s="1"/>
  <c r="J295" i="28"/>
  <c r="I295" i="28"/>
  <c r="L294" i="28"/>
  <c r="P294" i="28" s="1"/>
  <c r="J294" i="28"/>
  <c r="I294" i="28"/>
  <c r="L293" i="28"/>
  <c r="P293" i="28" s="1"/>
  <c r="I293" i="28"/>
  <c r="L292" i="28"/>
  <c r="P292" i="28" s="1"/>
  <c r="I292" i="28"/>
  <c r="L291" i="28"/>
  <c r="P291" i="28" s="1"/>
  <c r="J291" i="28"/>
  <c r="I291" i="28"/>
  <c r="L290" i="28"/>
  <c r="P290" i="28" s="1"/>
  <c r="I290" i="28"/>
  <c r="L289" i="28"/>
  <c r="P289" i="28" s="1"/>
  <c r="I289" i="28"/>
  <c r="L288" i="28"/>
  <c r="P288" i="28" s="1"/>
  <c r="I288" i="28"/>
  <c r="B285" i="28"/>
  <c r="H284" i="28"/>
  <c r="B281" i="28"/>
  <c r="B280" i="28"/>
  <c r="E279" i="28"/>
  <c r="B279" i="28"/>
  <c r="E278" i="28"/>
  <c r="B278" i="28"/>
  <c r="B277" i="28"/>
  <c r="Q266" i="28"/>
  <c r="L266" i="28"/>
  <c r="Q265" i="28"/>
  <c r="L265" i="28"/>
  <c r="Q264" i="28"/>
  <c r="L264" i="28"/>
  <c r="Q263" i="28"/>
  <c r="L263" i="28"/>
  <c r="Q262" i="28"/>
  <c r="L262" i="28"/>
  <c r="Q261" i="28"/>
  <c r="L261" i="28"/>
  <c r="Q260" i="28"/>
  <c r="L260" i="28"/>
  <c r="Q259" i="28"/>
  <c r="L259" i="28"/>
  <c r="Q258" i="28"/>
  <c r="L258" i="28"/>
  <c r="B258" i="28"/>
  <c r="Q257" i="28"/>
  <c r="L257" i="28"/>
  <c r="B257" i="28"/>
  <c r="M257" i="28" s="1"/>
  <c r="B256" i="28"/>
  <c r="R250" i="28"/>
  <c r="R249" i="28"/>
  <c r="R248" i="28"/>
  <c r="R247" i="28"/>
  <c r="R246" i="28"/>
  <c r="R245" i="28"/>
  <c r="R243" i="28"/>
  <c r="R242" i="28"/>
  <c r="R241" i="28"/>
  <c r="L236" i="28"/>
  <c r="L235" i="28"/>
  <c r="L234" i="28"/>
  <c r="L233" i="28"/>
  <c r="L232" i="28"/>
  <c r="L231" i="28"/>
  <c r="L230" i="28"/>
  <c r="L229" i="28"/>
  <c r="L228" i="28"/>
  <c r="B228" i="28"/>
  <c r="L227" i="28"/>
  <c r="B227" i="28"/>
  <c r="M227" i="28" s="1"/>
  <c r="B226" i="28"/>
  <c r="H205" i="28"/>
  <c r="I210" i="28" s="1"/>
  <c r="M210" i="28" s="1"/>
  <c r="Q203" i="28"/>
  <c r="R203" i="28" s="1"/>
  <c r="J297" i="28"/>
  <c r="I194" i="28"/>
  <c r="G194" i="28"/>
  <c r="S194" i="28" s="1"/>
  <c r="J296" i="28"/>
  <c r="I193" i="28"/>
  <c r="G193" i="28"/>
  <c r="I192" i="28"/>
  <c r="G192" i="28"/>
  <c r="I191" i="28"/>
  <c r="G191" i="28"/>
  <c r="J293" i="28"/>
  <c r="I190" i="28"/>
  <c r="G190" i="28"/>
  <c r="J292" i="28"/>
  <c r="I189" i="28"/>
  <c r="G189" i="28"/>
  <c r="S189" i="28" s="1"/>
  <c r="I188" i="28"/>
  <c r="G188" i="28"/>
  <c r="J290" i="28"/>
  <c r="I187" i="28"/>
  <c r="G187" i="28"/>
  <c r="S187" i="28" s="1"/>
  <c r="J289" i="28"/>
  <c r="I186" i="28"/>
  <c r="G186" i="28"/>
  <c r="S186" i="28" s="1"/>
  <c r="J288" i="28"/>
  <c r="I185" i="28"/>
  <c r="G185" i="28"/>
  <c r="G166" i="28"/>
  <c r="H166" i="28" s="1"/>
  <c r="G165" i="28"/>
  <c r="H165" i="28" s="1"/>
  <c r="G164" i="28"/>
  <c r="H164" i="28" s="1"/>
  <c r="G163" i="28"/>
  <c r="H163" i="28" s="1"/>
  <c r="G162" i="28"/>
  <c r="H162" i="28" s="1"/>
  <c r="G161" i="28"/>
  <c r="H161" i="28" s="1"/>
  <c r="G160" i="28"/>
  <c r="H160" i="28" s="1"/>
  <c r="G159" i="28"/>
  <c r="H159" i="28" s="1"/>
  <c r="G158" i="28"/>
  <c r="H158" i="28" s="1"/>
  <c r="G157" i="28"/>
  <c r="H157" i="28" s="1"/>
  <c r="J143" i="28"/>
  <c r="D143" i="28"/>
  <c r="J142" i="28"/>
  <c r="D142" i="28"/>
  <c r="J141" i="28"/>
  <c r="D141" i="28"/>
  <c r="J140" i="28"/>
  <c r="D140" i="28"/>
  <c r="J139" i="28"/>
  <c r="D139" i="28"/>
  <c r="J138" i="28"/>
  <c r="D138" i="28"/>
  <c r="J137" i="28"/>
  <c r="D137" i="28"/>
  <c r="J136" i="28"/>
  <c r="D136" i="28"/>
  <c r="J135" i="28"/>
  <c r="D135" i="28"/>
  <c r="J134" i="28"/>
  <c r="E39" i="28"/>
  <c r="E38" i="28"/>
  <c r="E37" i="28"/>
  <c r="E36" i="28"/>
  <c r="E35" i="28"/>
  <c r="E34" i="28"/>
  <c r="E33" i="28"/>
  <c r="E32" i="28"/>
  <c r="E31" i="28"/>
  <c r="C20" i="28"/>
  <c r="Q10" i="28"/>
  <c r="P10" i="28"/>
  <c r="F83" i="24" l="1"/>
  <c r="F85" i="24"/>
  <c r="I85" i="24" s="1"/>
  <c r="K85" i="24" s="1"/>
  <c r="F84" i="24"/>
  <c r="I84" i="24" s="1"/>
  <c r="K84" i="24" s="1"/>
  <c r="F86" i="23"/>
  <c r="I86" i="23" s="1"/>
  <c r="K86" i="23" s="1"/>
  <c r="F86" i="24"/>
  <c r="I86" i="24" s="1"/>
  <c r="K86" i="24" s="1"/>
  <c r="H295" i="28"/>
  <c r="S192" i="28"/>
  <c r="H296" i="28"/>
  <c r="S193" i="28"/>
  <c r="H294" i="28"/>
  <c r="S191" i="28"/>
  <c r="H293" i="28"/>
  <c r="S190" i="28"/>
  <c r="H291" i="28"/>
  <c r="S188" i="28"/>
  <c r="S231" i="33"/>
  <c r="S245" i="33"/>
  <c r="E126" i="28"/>
  <c r="E145" i="28"/>
  <c r="D145" i="28"/>
  <c r="P161" i="33"/>
  <c r="Q161" i="33" s="1"/>
  <c r="D20" i="28"/>
  <c r="D238" i="35"/>
  <c r="R135" i="35"/>
  <c r="C135" i="35"/>
  <c r="J239" i="35"/>
  <c r="F239" i="35" s="1"/>
  <c r="L137" i="35"/>
  <c r="D136" i="35"/>
  <c r="F236" i="34"/>
  <c r="K101" i="34"/>
  <c r="P101" i="34"/>
  <c r="Q101" i="34" s="1"/>
  <c r="K102" i="34"/>
  <c r="P102" i="34"/>
  <c r="Q102" i="34" s="1"/>
  <c r="C130" i="34"/>
  <c r="D233" i="34"/>
  <c r="R130" i="34"/>
  <c r="P171" i="34"/>
  <c r="Q171" i="34" s="1"/>
  <c r="R171" i="34" s="1"/>
  <c r="S171" i="34" s="1"/>
  <c r="N101" i="34"/>
  <c r="O101" i="34" s="1"/>
  <c r="E235" i="34"/>
  <c r="K235" i="34" s="1"/>
  <c r="H132" i="34"/>
  <c r="E233" i="34"/>
  <c r="K233" i="34" s="1"/>
  <c r="H130" i="34"/>
  <c r="P173" i="34"/>
  <c r="Q173" i="34" s="1"/>
  <c r="R173" i="34" s="1"/>
  <c r="S173" i="34" s="1"/>
  <c r="N103" i="34"/>
  <c r="O103" i="34" s="1"/>
  <c r="D235" i="34"/>
  <c r="C132" i="34"/>
  <c r="R132" i="34"/>
  <c r="H133" i="34"/>
  <c r="E236" i="34"/>
  <c r="K236" i="34" s="1"/>
  <c r="E234" i="34"/>
  <c r="K234" i="34" s="1"/>
  <c r="H131" i="34"/>
  <c r="K105" i="34"/>
  <c r="P105" i="34"/>
  <c r="Q105" i="34" s="1"/>
  <c r="P104" i="34"/>
  <c r="Q104" i="34" s="1"/>
  <c r="K104" i="34"/>
  <c r="D232" i="34"/>
  <c r="C129" i="34"/>
  <c r="P172" i="34"/>
  <c r="Q172" i="34" s="1"/>
  <c r="R172" i="34" s="1"/>
  <c r="S172" i="34" s="1"/>
  <c r="N102" i="34"/>
  <c r="O102" i="34" s="1"/>
  <c r="P175" i="34"/>
  <c r="Q175" i="34" s="1"/>
  <c r="R175" i="34" s="1"/>
  <c r="S175" i="34" s="1"/>
  <c r="N105" i="34"/>
  <c r="O105" i="34" s="1"/>
  <c r="P174" i="34"/>
  <c r="Q174" i="34" s="1"/>
  <c r="R174" i="34" s="1"/>
  <c r="S174" i="34" s="1"/>
  <c r="N104" i="34"/>
  <c r="O104" i="34" s="1"/>
  <c r="P103" i="34"/>
  <c r="Q103" i="34" s="1"/>
  <c r="K103" i="34"/>
  <c r="D236" i="34"/>
  <c r="R133" i="34"/>
  <c r="C133" i="34"/>
  <c r="J237" i="34"/>
  <c r="F237" i="34" s="1"/>
  <c r="L135" i="34"/>
  <c r="D134" i="34"/>
  <c r="E232" i="34"/>
  <c r="K232" i="34" s="1"/>
  <c r="H129" i="34"/>
  <c r="C131" i="34"/>
  <c r="R131" i="34"/>
  <c r="D234" i="34"/>
  <c r="E296" i="33"/>
  <c r="K296" i="33" s="1"/>
  <c r="H193" i="33"/>
  <c r="R190" i="33"/>
  <c r="D293" i="33"/>
  <c r="C190" i="33"/>
  <c r="P228" i="33"/>
  <c r="Q228" i="33" s="1"/>
  <c r="R228" i="33" s="1"/>
  <c r="N158" i="33"/>
  <c r="O158" i="33" s="1"/>
  <c r="P235" i="33"/>
  <c r="Q235" i="33" s="1"/>
  <c r="R235" i="33" s="1"/>
  <c r="N165" i="33"/>
  <c r="O165" i="33" s="1"/>
  <c r="R187" i="33"/>
  <c r="D290" i="33"/>
  <c r="C187" i="33"/>
  <c r="P166" i="33"/>
  <c r="Q166" i="33" s="1"/>
  <c r="K166" i="33"/>
  <c r="H186" i="33"/>
  <c r="E289" i="33"/>
  <c r="K289" i="33" s="1"/>
  <c r="P164" i="33"/>
  <c r="Q164" i="33" s="1"/>
  <c r="K164" i="33"/>
  <c r="E293" i="33"/>
  <c r="K293" i="33" s="1"/>
  <c r="H190" i="33"/>
  <c r="E291" i="33"/>
  <c r="K291" i="33" s="1"/>
  <c r="H188" i="33"/>
  <c r="K159" i="33"/>
  <c r="P159" i="33"/>
  <c r="Q159" i="33" s="1"/>
  <c r="E297" i="33"/>
  <c r="K297" i="33" s="1"/>
  <c r="H194" i="33"/>
  <c r="P157" i="33"/>
  <c r="Q157" i="33" s="1"/>
  <c r="K157" i="33"/>
  <c r="K163" i="33"/>
  <c r="P163" i="33"/>
  <c r="Q163" i="33" s="1"/>
  <c r="E295" i="33"/>
  <c r="K295" i="33" s="1"/>
  <c r="H192" i="33"/>
  <c r="D288" i="33"/>
  <c r="R185" i="33"/>
  <c r="C185" i="33"/>
  <c r="H187" i="33"/>
  <c r="E290" i="33"/>
  <c r="K290" i="33" s="1"/>
  <c r="P236" i="33"/>
  <c r="Q236" i="33" s="1"/>
  <c r="R236" i="33" s="1"/>
  <c r="N166" i="33"/>
  <c r="O166" i="33" s="1"/>
  <c r="J293" i="33"/>
  <c r="F293" i="33" s="1"/>
  <c r="L191" i="33"/>
  <c r="D191" i="33" s="1"/>
  <c r="E294" i="33"/>
  <c r="K294" i="33" s="1"/>
  <c r="H191" i="33"/>
  <c r="P234" i="33"/>
  <c r="Q234" i="33" s="1"/>
  <c r="R234" i="33" s="1"/>
  <c r="N164" i="33"/>
  <c r="O164" i="33" s="1"/>
  <c r="P229" i="33"/>
  <c r="Q229" i="33" s="1"/>
  <c r="R229" i="33" s="1"/>
  <c r="N159" i="33"/>
  <c r="O159" i="33" s="1"/>
  <c r="P227" i="33"/>
  <c r="Q227" i="33" s="1"/>
  <c r="R227" i="33" s="1"/>
  <c r="S241" i="33" s="1"/>
  <c r="N157" i="33"/>
  <c r="O157" i="33" s="1"/>
  <c r="P233" i="33"/>
  <c r="Q233" i="33" s="1"/>
  <c r="R233" i="33" s="1"/>
  <c r="N163" i="33"/>
  <c r="O163" i="33" s="1"/>
  <c r="P162" i="33"/>
  <c r="Q162" i="33" s="1"/>
  <c r="K162" i="33"/>
  <c r="P160" i="33"/>
  <c r="Q160" i="33" s="1"/>
  <c r="K160" i="33"/>
  <c r="D289" i="33"/>
  <c r="R186" i="33"/>
  <c r="C186" i="33"/>
  <c r="D291" i="33"/>
  <c r="R188" i="33"/>
  <c r="C188" i="33"/>
  <c r="K158" i="33"/>
  <c r="P158" i="33"/>
  <c r="Q158" i="33" s="1"/>
  <c r="K165" i="33"/>
  <c r="P165" i="33"/>
  <c r="Q165" i="33" s="1"/>
  <c r="C292" i="33"/>
  <c r="P209" i="33"/>
  <c r="Q209" i="33" s="1"/>
  <c r="R209" i="33" s="1"/>
  <c r="P232" i="33"/>
  <c r="Q232" i="33" s="1"/>
  <c r="R232" i="33" s="1"/>
  <c r="N162" i="33"/>
  <c r="O162" i="33" s="1"/>
  <c r="E288" i="33"/>
  <c r="K288" i="33" s="1"/>
  <c r="H185" i="33"/>
  <c r="P230" i="33"/>
  <c r="Q230" i="33" s="1"/>
  <c r="R230" i="33" s="1"/>
  <c r="N160" i="33"/>
  <c r="O160" i="33" s="1"/>
  <c r="N235" i="28"/>
  <c r="O235" i="28" s="1"/>
  <c r="N258" i="28"/>
  <c r="O258" i="28" s="1"/>
  <c r="R258" i="28" s="1"/>
  <c r="N260" i="28"/>
  <c r="O260" i="28" s="1"/>
  <c r="R260" i="28" s="1"/>
  <c r="N266" i="28"/>
  <c r="O266" i="28" s="1"/>
  <c r="R266" i="28" s="1"/>
  <c r="N233" i="28"/>
  <c r="O233" i="28" s="1"/>
  <c r="N259" i="28"/>
  <c r="O259" i="28" s="1"/>
  <c r="R259" i="28" s="1"/>
  <c r="N265" i="28"/>
  <c r="O265" i="28" s="1"/>
  <c r="R265" i="28" s="1"/>
  <c r="N264" i="28"/>
  <c r="O264" i="28" s="1"/>
  <c r="R264" i="28" s="1"/>
  <c r="N232" i="28"/>
  <c r="O232" i="28" s="1"/>
  <c r="N230" i="28"/>
  <c r="O230" i="28" s="1"/>
  <c r="F127" i="28"/>
  <c r="F126" i="28"/>
  <c r="F129" i="28"/>
  <c r="F128" i="28"/>
  <c r="E127" i="28"/>
  <c r="E128" i="28"/>
  <c r="E129" i="28"/>
  <c r="N261" i="28"/>
  <c r="O261" i="28" s="1"/>
  <c r="R261" i="28" s="1"/>
  <c r="F260" i="28"/>
  <c r="G260" i="28" s="1"/>
  <c r="H260" i="28" s="1"/>
  <c r="N291" i="28" s="1"/>
  <c r="N234" i="28"/>
  <c r="O234" i="28" s="1"/>
  <c r="F265" i="28"/>
  <c r="G265" i="28" s="1"/>
  <c r="H265" i="28" s="1"/>
  <c r="N296" i="28" s="1"/>
  <c r="F264" i="28"/>
  <c r="G264" i="28" s="1"/>
  <c r="H264" i="28" s="1"/>
  <c r="N295" i="28" s="1"/>
  <c r="F85" i="23"/>
  <c r="I85" i="23" s="1"/>
  <c r="K85" i="23" s="1"/>
  <c r="F87" i="23"/>
  <c r="I87" i="23" s="1"/>
  <c r="K87" i="23" s="1"/>
  <c r="F84" i="23"/>
  <c r="I84" i="23" s="1"/>
  <c r="K84" i="23" s="1"/>
  <c r="F83" i="23"/>
  <c r="E83" i="23"/>
  <c r="I83" i="23" s="1"/>
  <c r="K83" i="23" s="1"/>
  <c r="E79" i="23"/>
  <c r="I79" i="23" s="1"/>
  <c r="K79" i="23" s="1"/>
  <c r="E82" i="23"/>
  <c r="I82" i="23" s="1"/>
  <c r="K82" i="23" s="1"/>
  <c r="E78" i="23"/>
  <c r="I78" i="23" s="1"/>
  <c r="K78" i="23" s="1"/>
  <c r="E81" i="23"/>
  <c r="I81" i="23" s="1"/>
  <c r="K81" i="23" s="1"/>
  <c r="E80" i="23"/>
  <c r="I80" i="23" s="1"/>
  <c r="K80" i="23" s="1"/>
  <c r="F86" i="17"/>
  <c r="I86" i="17" s="1"/>
  <c r="K86" i="17" s="1"/>
  <c r="F85" i="17"/>
  <c r="I85" i="17" s="1"/>
  <c r="K85" i="17" s="1"/>
  <c r="F84" i="17"/>
  <c r="I84" i="17" s="1"/>
  <c r="K84" i="17" s="1"/>
  <c r="F87" i="17"/>
  <c r="I87" i="17" s="1"/>
  <c r="K87" i="17" s="1"/>
  <c r="F83" i="17"/>
  <c r="E83" i="17"/>
  <c r="E79" i="17"/>
  <c r="I79" i="17" s="1"/>
  <c r="K79" i="17" s="1"/>
  <c r="E82" i="17"/>
  <c r="I82" i="17" s="1"/>
  <c r="K82" i="17" s="1"/>
  <c r="E78" i="17"/>
  <c r="I78" i="17" s="1"/>
  <c r="K78" i="17" s="1"/>
  <c r="E81" i="17"/>
  <c r="I81" i="17" s="1"/>
  <c r="K81" i="17" s="1"/>
  <c r="E80" i="17"/>
  <c r="I80" i="17" s="1"/>
  <c r="K80" i="17" s="1"/>
  <c r="E83" i="24"/>
  <c r="I83" i="24" s="1"/>
  <c r="K83" i="24" s="1"/>
  <c r="E79" i="24"/>
  <c r="I79" i="24" s="1"/>
  <c r="K79" i="24" s="1"/>
  <c r="E82" i="24"/>
  <c r="I82" i="24" s="1"/>
  <c r="K82" i="24" s="1"/>
  <c r="E78" i="24"/>
  <c r="I78" i="24" s="1"/>
  <c r="K78" i="24" s="1"/>
  <c r="E81" i="24"/>
  <c r="I81" i="24" s="1"/>
  <c r="K81" i="24" s="1"/>
  <c r="E80" i="24"/>
  <c r="I80" i="24" s="1"/>
  <c r="K80" i="24" s="1"/>
  <c r="F266" i="28"/>
  <c r="G266" i="28" s="1"/>
  <c r="H266" i="28" s="1"/>
  <c r="N297" i="28" s="1"/>
  <c r="I212" i="28"/>
  <c r="M212" i="28" s="1"/>
  <c r="I208" i="28"/>
  <c r="M208" i="28" s="1"/>
  <c r="I213" i="28"/>
  <c r="M213" i="28" s="1"/>
  <c r="I209" i="28"/>
  <c r="M209" i="28" s="1"/>
  <c r="I205" i="28"/>
  <c r="M205" i="28" s="1"/>
  <c r="I207" i="28"/>
  <c r="M207" i="28" s="1"/>
  <c r="I214" i="28"/>
  <c r="M214" i="28" s="1"/>
  <c r="I206" i="28"/>
  <c r="M206" i="28" s="1"/>
  <c r="F257" i="28"/>
  <c r="G257" i="28" s="1"/>
  <c r="H257" i="28" s="1"/>
  <c r="N288" i="28" s="1"/>
  <c r="H288" i="28"/>
  <c r="S185" i="28"/>
  <c r="I211" i="28"/>
  <c r="M211" i="28" s="1"/>
  <c r="H297" i="28"/>
  <c r="F258" i="28"/>
  <c r="G258" i="28" s="1"/>
  <c r="H258" i="28" s="1"/>
  <c r="N289" i="28" s="1"/>
  <c r="H289" i="28"/>
  <c r="F261" i="28"/>
  <c r="G261" i="28" s="1"/>
  <c r="H261" i="28" s="1"/>
  <c r="N292" i="28" s="1"/>
  <c r="H292" i="28"/>
  <c r="N228" i="28"/>
  <c r="O228" i="28" s="1"/>
  <c r="N231" i="28"/>
  <c r="O231" i="28" s="1"/>
  <c r="N236" i="28"/>
  <c r="O236" i="28" s="1"/>
  <c r="H290" i="28"/>
  <c r="F259" i="28"/>
  <c r="G259" i="28" s="1"/>
  <c r="H259" i="28" s="1"/>
  <c r="N290" i="28" s="1"/>
  <c r="F262" i="28"/>
  <c r="G262" i="28" s="1"/>
  <c r="H262" i="28" s="1"/>
  <c r="N293" i="28" s="1"/>
  <c r="N227" i="28"/>
  <c r="O227" i="28" s="1"/>
  <c r="N229" i="28"/>
  <c r="O229" i="28" s="1"/>
  <c r="N257" i="28"/>
  <c r="O257" i="28" s="1"/>
  <c r="R257" i="28" s="1"/>
  <c r="N262" i="28"/>
  <c r="O262" i="28" s="1"/>
  <c r="R262" i="28" s="1"/>
  <c r="N263" i="28"/>
  <c r="O263" i="28" s="1"/>
  <c r="R263" i="28" s="1"/>
  <c r="F263" i="28"/>
  <c r="G263" i="28" s="1"/>
  <c r="H263" i="28" s="1"/>
  <c r="N294" i="28" s="1"/>
  <c r="H228" i="24"/>
  <c r="H228" i="17"/>
  <c r="H228" i="23"/>
  <c r="I83" i="17" l="1"/>
  <c r="K83" i="17" s="1"/>
  <c r="S233" i="33"/>
  <c r="S247" i="33"/>
  <c r="S229" i="33"/>
  <c r="S243" i="33"/>
  <c r="S236" i="33"/>
  <c r="S250" i="33"/>
  <c r="S228" i="33"/>
  <c r="S242" i="33"/>
  <c r="S230" i="33"/>
  <c r="S244" i="33"/>
  <c r="S232" i="33"/>
  <c r="S246" i="33"/>
  <c r="S227" i="33"/>
  <c r="S234" i="33"/>
  <c r="S248" i="33"/>
  <c r="S235" i="33"/>
  <c r="S249" i="33"/>
  <c r="C238" i="35"/>
  <c r="P155" i="35"/>
  <c r="Q155" i="35" s="1"/>
  <c r="R155" i="35" s="1"/>
  <c r="D239" i="35"/>
  <c r="C136" i="35"/>
  <c r="R136" i="35"/>
  <c r="L138" i="35"/>
  <c r="J240" i="35"/>
  <c r="F240" i="35" s="1"/>
  <c r="D137" i="35"/>
  <c r="C236" i="34"/>
  <c r="P153" i="34"/>
  <c r="Q153" i="34" s="1"/>
  <c r="R153" i="34" s="1"/>
  <c r="C232" i="34"/>
  <c r="P149" i="34"/>
  <c r="Q149" i="34" s="1"/>
  <c r="R149" i="34" s="1"/>
  <c r="P152" i="34"/>
  <c r="Q152" i="34" s="1"/>
  <c r="R152" i="34" s="1"/>
  <c r="C235" i="34"/>
  <c r="R134" i="34"/>
  <c r="D237" i="34"/>
  <c r="C134" i="34"/>
  <c r="P151" i="34"/>
  <c r="Q151" i="34" s="1"/>
  <c r="R151" i="34" s="1"/>
  <c r="C234" i="34"/>
  <c r="J238" i="34"/>
  <c r="F238" i="34" s="1"/>
  <c r="L136" i="34"/>
  <c r="D135" i="34"/>
  <c r="C233" i="34"/>
  <c r="P150" i="34"/>
  <c r="Q150" i="34" s="1"/>
  <c r="R150" i="34" s="1"/>
  <c r="P205" i="33"/>
  <c r="Q205" i="33" s="1"/>
  <c r="R205" i="33" s="1"/>
  <c r="C288" i="33"/>
  <c r="C290" i="33"/>
  <c r="P207" i="33"/>
  <c r="Q207" i="33" s="1"/>
  <c r="R207" i="33" s="1"/>
  <c r="J294" i="33"/>
  <c r="F294" i="33" s="1"/>
  <c r="L192" i="33"/>
  <c r="D192" i="33" s="1"/>
  <c r="P208" i="33"/>
  <c r="Q208" i="33" s="1"/>
  <c r="R208" i="33" s="1"/>
  <c r="C291" i="33"/>
  <c r="C289" i="33"/>
  <c r="P206" i="33"/>
  <c r="Q206" i="33" s="1"/>
  <c r="R206" i="33" s="1"/>
  <c r="C293" i="33"/>
  <c r="P210" i="33"/>
  <c r="Q210" i="33" s="1"/>
  <c r="R210" i="33" s="1"/>
  <c r="E138" i="28"/>
  <c r="I138" i="28" s="1"/>
  <c r="E135" i="28"/>
  <c r="I135" i="28" s="1"/>
  <c r="E137" i="28"/>
  <c r="I137" i="28" s="1"/>
  <c r="E136" i="28"/>
  <c r="I136" i="28" s="1"/>
  <c r="E134" i="28"/>
  <c r="I134" i="28" s="1"/>
  <c r="F140" i="28"/>
  <c r="I140" i="28" s="1"/>
  <c r="F139" i="28"/>
  <c r="I139" i="28" s="1"/>
  <c r="F141" i="28"/>
  <c r="I141" i="28" s="1"/>
  <c r="F143" i="28"/>
  <c r="I143" i="28" s="1"/>
  <c r="F142" i="28"/>
  <c r="I142" i="28" s="1"/>
  <c r="F102" i="17"/>
  <c r="F103" i="17"/>
  <c r="F104" i="17"/>
  <c r="F105" i="17"/>
  <c r="F106" i="17"/>
  <c r="F107" i="17"/>
  <c r="F108" i="17"/>
  <c r="F109" i="17"/>
  <c r="F110" i="17"/>
  <c r="F101" i="17"/>
  <c r="R137" i="35" l="1"/>
  <c r="C137" i="35"/>
  <c r="D240" i="35"/>
  <c r="P156" i="35"/>
  <c r="Q156" i="35" s="1"/>
  <c r="R156" i="35" s="1"/>
  <c r="C239" i="35"/>
  <c r="J241" i="35"/>
  <c r="F241" i="35" s="1"/>
  <c r="D138" i="35"/>
  <c r="R135" i="34"/>
  <c r="D238" i="34"/>
  <c r="C135" i="34"/>
  <c r="L137" i="34"/>
  <c r="J239" i="34"/>
  <c r="F239" i="34" s="1"/>
  <c r="D136" i="34"/>
  <c r="C237" i="34"/>
  <c r="P154" i="34"/>
  <c r="Q154" i="34" s="1"/>
  <c r="R154" i="34" s="1"/>
  <c r="R191" i="33"/>
  <c r="C191" i="33"/>
  <c r="D294" i="33"/>
  <c r="J295" i="33"/>
  <c r="F295" i="33" s="1"/>
  <c r="L193" i="33"/>
  <c r="D193" i="33" s="1"/>
  <c r="D165" i="28"/>
  <c r="U165" i="28" s="1"/>
  <c r="K142" i="28"/>
  <c r="D163" i="28"/>
  <c r="U163" i="28" s="1"/>
  <c r="K140" i="28"/>
  <c r="D162" i="28"/>
  <c r="U162" i="28" s="1"/>
  <c r="K139" i="28"/>
  <c r="D166" i="28"/>
  <c r="U166" i="28" s="1"/>
  <c r="K143" i="28"/>
  <c r="K134" i="28"/>
  <c r="D157" i="28"/>
  <c r="D158" i="28"/>
  <c r="U158" i="28" s="1"/>
  <c r="K135" i="28"/>
  <c r="D164" i="28"/>
  <c r="U164" i="28" s="1"/>
  <c r="K141" i="28"/>
  <c r="D159" i="28"/>
  <c r="U159" i="28" s="1"/>
  <c r="K136" i="28"/>
  <c r="D161" i="28"/>
  <c r="U161" i="28" s="1"/>
  <c r="K138" i="28"/>
  <c r="D160" i="28"/>
  <c r="U160" i="28" s="1"/>
  <c r="K137" i="28"/>
  <c r="F185" i="28" l="1"/>
  <c r="D185" i="28" s="1"/>
  <c r="C185" i="28" s="1"/>
  <c r="U157" i="28"/>
  <c r="D241" i="35"/>
  <c r="C138" i="35"/>
  <c r="R138" i="35"/>
  <c r="C240" i="35"/>
  <c r="P157" i="35"/>
  <c r="Q157" i="35" s="1"/>
  <c r="R157" i="35" s="1"/>
  <c r="C238" i="34"/>
  <c r="P155" i="34"/>
  <c r="Q155" i="34" s="1"/>
  <c r="R155" i="34" s="1"/>
  <c r="D239" i="34"/>
  <c r="R136" i="34"/>
  <c r="C136" i="34"/>
  <c r="J240" i="34"/>
  <c r="F240" i="34" s="1"/>
  <c r="L138" i="34"/>
  <c r="D137" i="34"/>
  <c r="R192" i="33"/>
  <c r="D295" i="33"/>
  <c r="C192" i="33"/>
  <c r="C294" i="33"/>
  <c r="P211" i="33"/>
  <c r="Q211" i="33" s="1"/>
  <c r="R211" i="33" s="1"/>
  <c r="J296" i="33"/>
  <c r="F296" i="33" s="1"/>
  <c r="L194" i="33"/>
  <c r="D194" i="33" s="1"/>
  <c r="F188" i="28"/>
  <c r="D188" i="28" s="1"/>
  <c r="C160" i="28"/>
  <c r="F187" i="28"/>
  <c r="D187" i="28" s="1"/>
  <c r="C159" i="28"/>
  <c r="F191" i="28"/>
  <c r="D191" i="28" s="1"/>
  <c r="C163" i="28"/>
  <c r="F194" i="28"/>
  <c r="D194" i="28" s="1"/>
  <c r="C166" i="28"/>
  <c r="C157" i="28"/>
  <c r="F186" i="28"/>
  <c r="D186" i="28" s="1"/>
  <c r="C158" i="28"/>
  <c r="F189" i="28"/>
  <c r="D189" i="28" s="1"/>
  <c r="C161" i="28"/>
  <c r="F192" i="28"/>
  <c r="D192" i="28" s="1"/>
  <c r="C164" i="28"/>
  <c r="F190" i="28"/>
  <c r="D190" i="28" s="1"/>
  <c r="C162" i="28"/>
  <c r="F193" i="28"/>
  <c r="D193" i="28" s="1"/>
  <c r="C165" i="28"/>
  <c r="G138" i="17"/>
  <c r="F138" i="17"/>
  <c r="G137" i="17"/>
  <c r="F137" i="17"/>
  <c r="D137" i="17" s="1"/>
  <c r="G136" i="17"/>
  <c r="F136" i="17"/>
  <c r="G135" i="17"/>
  <c r="F135" i="17"/>
  <c r="G134" i="17"/>
  <c r="F134" i="17"/>
  <c r="G133" i="17"/>
  <c r="F133" i="17"/>
  <c r="D133" i="17" s="1"/>
  <c r="G132" i="17"/>
  <c r="F132" i="17"/>
  <c r="D132" i="17" s="1"/>
  <c r="G131" i="17"/>
  <c r="F131" i="17"/>
  <c r="G130" i="17"/>
  <c r="F130" i="17"/>
  <c r="G129" i="17"/>
  <c r="F129" i="17"/>
  <c r="D131" i="17" l="1"/>
  <c r="D134" i="17"/>
  <c r="E185" i="28"/>
  <c r="D129" i="17"/>
  <c r="C129" i="17" s="1"/>
  <c r="D135" i="17"/>
  <c r="D130" i="17"/>
  <c r="D136" i="17"/>
  <c r="R185" i="28"/>
  <c r="C241" i="35"/>
  <c r="P158" i="35"/>
  <c r="Q158" i="35" s="1"/>
  <c r="R158" i="35" s="1"/>
  <c r="J241" i="34"/>
  <c r="F241" i="34" s="1"/>
  <c r="D138" i="34"/>
  <c r="D240" i="34"/>
  <c r="R137" i="34"/>
  <c r="C137" i="34"/>
  <c r="P156" i="34"/>
  <c r="Q156" i="34" s="1"/>
  <c r="R156" i="34" s="1"/>
  <c r="C239" i="34"/>
  <c r="D296" i="33"/>
  <c r="R193" i="33"/>
  <c r="C193" i="33"/>
  <c r="J297" i="33"/>
  <c r="F297" i="33" s="1"/>
  <c r="P212" i="33"/>
  <c r="Q212" i="33" s="1"/>
  <c r="R212" i="33" s="1"/>
  <c r="C295" i="33"/>
  <c r="F161" i="28"/>
  <c r="M161" i="28"/>
  <c r="G288" i="28"/>
  <c r="F288" i="28" s="1"/>
  <c r="F227" i="28"/>
  <c r="G227" i="28" s="1"/>
  <c r="H227" i="28" s="1"/>
  <c r="M288" i="28" s="1"/>
  <c r="H185" i="28"/>
  <c r="G296" i="28"/>
  <c r="F296" i="28" s="1"/>
  <c r="E193" i="28"/>
  <c r="F235" i="28"/>
  <c r="G235" i="28" s="1"/>
  <c r="H235" i="28" s="1"/>
  <c r="M296" i="28" s="1"/>
  <c r="E192" i="28"/>
  <c r="F234" i="28"/>
  <c r="G234" i="28" s="1"/>
  <c r="H234" i="28" s="1"/>
  <c r="M295" i="28" s="1"/>
  <c r="G295" i="28"/>
  <c r="F295" i="28" s="1"/>
  <c r="F157" i="28"/>
  <c r="K157" i="28" s="1"/>
  <c r="M157" i="28"/>
  <c r="N157" i="28" s="1"/>
  <c r="E194" i="28"/>
  <c r="G297" i="28"/>
  <c r="F297" i="28" s="1"/>
  <c r="F236" i="28"/>
  <c r="G236" i="28" s="1"/>
  <c r="H236" i="28" s="1"/>
  <c r="M297" i="28" s="1"/>
  <c r="C194" i="28"/>
  <c r="G290" i="28"/>
  <c r="F290" i="28" s="1"/>
  <c r="F229" i="28"/>
  <c r="G229" i="28" s="1"/>
  <c r="H229" i="28" s="1"/>
  <c r="M290" i="28" s="1"/>
  <c r="E187" i="28"/>
  <c r="M162" i="28"/>
  <c r="F162" i="28"/>
  <c r="F163" i="28"/>
  <c r="M163" i="28"/>
  <c r="F232" i="28"/>
  <c r="G232" i="28" s="1"/>
  <c r="H232" i="28" s="1"/>
  <c r="M293" i="28" s="1"/>
  <c r="G293" i="28"/>
  <c r="F293" i="28" s="1"/>
  <c r="E190" i="28"/>
  <c r="F231" i="28"/>
  <c r="G231" i="28" s="1"/>
  <c r="H231" i="28" s="1"/>
  <c r="M292" i="28" s="1"/>
  <c r="G292" i="28"/>
  <c r="F292" i="28" s="1"/>
  <c r="E189" i="28"/>
  <c r="F158" i="28"/>
  <c r="M158" i="28"/>
  <c r="G294" i="28"/>
  <c r="F294" i="28" s="1"/>
  <c r="F233" i="28"/>
  <c r="G233" i="28" s="1"/>
  <c r="H233" i="28" s="1"/>
  <c r="M294" i="28" s="1"/>
  <c r="E191" i="28"/>
  <c r="F230" i="28"/>
  <c r="G230" i="28" s="1"/>
  <c r="H230" i="28" s="1"/>
  <c r="M291" i="28" s="1"/>
  <c r="E188" i="28"/>
  <c r="G291" i="28"/>
  <c r="F291" i="28" s="1"/>
  <c r="M160" i="28"/>
  <c r="F160" i="28"/>
  <c r="M165" i="28"/>
  <c r="F165" i="28"/>
  <c r="F164" i="28"/>
  <c r="M164" i="28"/>
  <c r="F228" i="28"/>
  <c r="G228" i="28" s="1"/>
  <c r="H228" i="28" s="1"/>
  <c r="M289" i="28" s="1"/>
  <c r="E186" i="28"/>
  <c r="G289" i="28"/>
  <c r="F289" i="28" s="1"/>
  <c r="F166" i="28"/>
  <c r="M166" i="28"/>
  <c r="F159" i="28"/>
  <c r="M159" i="28"/>
  <c r="D138" i="17"/>
  <c r="D20" i="23"/>
  <c r="C20" i="23"/>
  <c r="D20" i="24"/>
  <c r="C20" i="24"/>
  <c r="Q10" i="17"/>
  <c r="P10" i="17"/>
  <c r="Q10" i="23"/>
  <c r="P10" i="23"/>
  <c r="D20" i="17"/>
  <c r="C20" i="17"/>
  <c r="D223" i="24"/>
  <c r="I241" i="24"/>
  <c r="I240" i="24"/>
  <c r="I239" i="24"/>
  <c r="I238" i="24"/>
  <c r="I237" i="24"/>
  <c r="I236" i="24"/>
  <c r="I235" i="24"/>
  <c r="I234" i="24"/>
  <c r="I233" i="24"/>
  <c r="I232" i="24"/>
  <c r="Q10" i="24"/>
  <c r="P10" i="24"/>
  <c r="K158" i="28" l="1"/>
  <c r="P158" i="28"/>
  <c r="R138" i="34"/>
  <c r="D241" i="34"/>
  <c r="C138" i="34"/>
  <c r="C240" i="34"/>
  <c r="P157" i="34"/>
  <c r="Q157" i="34" s="1"/>
  <c r="R157" i="34" s="1"/>
  <c r="P213" i="33"/>
  <c r="Q213" i="33" s="1"/>
  <c r="R213" i="33" s="1"/>
  <c r="C296" i="33"/>
  <c r="R194" i="33"/>
  <c r="D297" i="33"/>
  <c r="C194" i="33"/>
  <c r="P159" i="28"/>
  <c r="Q159" i="28" s="1"/>
  <c r="K159" i="28"/>
  <c r="K164" i="28"/>
  <c r="P164" i="28"/>
  <c r="Q164" i="28" s="1"/>
  <c r="P230" i="28"/>
  <c r="Q230" i="28" s="1"/>
  <c r="N160" i="28"/>
  <c r="O160" i="28" s="1"/>
  <c r="E293" i="28"/>
  <c r="K293" i="28" s="1"/>
  <c r="H190" i="28"/>
  <c r="P163" i="28"/>
  <c r="Q163" i="28" s="1"/>
  <c r="K163" i="28"/>
  <c r="C188" i="28"/>
  <c r="R188" i="28"/>
  <c r="D291" i="28"/>
  <c r="Q158" i="28"/>
  <c r="P229" i="28"/>
  <c r="Q229" i="28" s="1"/>
  <c r="N159" i="28"/>
  <c r="O159" i="28" s="1"/>
  <c r="D289" i="28"/>
  <c r="R186" i="28"/>
  <c r="C186" i="28"/>
  <c r="N164" i="28"/>
  <c r="O164" i="28" s="1"/>
  <c r="P234" i="28"/>
  <c r="Q234" i="28" s="1"/>
  <c r="K160" i="28"/>
  <c r="P160" i="28"/>
  <c r="Q160" i="28" s="1"/>
  <c r="E291" i="28"/>
  <c r="K291" i="28" s="1"/>
  <c r="H188" i="28"/>
  <c r="E292" i="28"/>
  <c r="K292" i="28" s="1"/>
  <c r="H189" i="28"/>
  <c r="D293" i="28"/>
  <c r="C190" i="28"/>
  <c r="R190" i="28"/>
  <c r="P233" i="28"/>
  <c r="Q233" i="28" s="1"/>
  <c r="N163" i="28"/>
  <c r="O163" i="28" s="1"/>
  <c r="H187" i="28"/>
  <c r="E290" i="28"/>
  <c r="K290" i="28" s="1"/>
  <c r="D297" i="28"/>
  <c r="R194" i="28"/>
  <c r="P227" i="28"/>
  <c r="Q227" i="28" s="1"/>
  <c r="R227" i="28" s="1"/>
  <c r="S241" i="28" s="1"/>
  <c r="O157" i="28"/>
  <c r="E296" i="28"/>
  <c r="K296" i="28" s="1"/>
  <c r="H193" i="28"/>
  <c r="P157" i="28"/>
  <c r="Q157" i="28" s="1"/>
  <c r="H192" i="28"/>
  <c r="E295" i="28"/>
  <c r="K295" i="28" s="1"/>
  <c r="D288" i="28"/>
  <c r="P236" i="28"/>
  <c r="Q236" i="28" s="1"/>
  <c r="N166" i="28"/>
  <c r="O166" i="28" s="1"/>
  <c r="H186" i="28"/>
  <c r="E289" i="28"/>
  <c r="K289" i="28" s="1"/>
  <c r="K165" i="28"/>
  <c r="P165" i="28"/>
  <c r="Q165" i="28" s="1"/>
  <c r="R191" i="28"/>
  <c r="C191" i="28"/>
  <c r="D294" i="28"/>
  <c r="P228" i="28"/>
  <c r="Q228" i="28" s="1"/>
  <c r="N158" i="28"/>
  <c r="O158" i="28" s="1"/>
  <c r="C189" i="28"/>
  <c r="R189" i="28"/>
  <c r="D292" i="28"/>
  <c r="K162" i="28"/>
  <c r="P162" i="28"/>
  <c r="Q162" i="28" s="1"/>
  <c r="R187" i="28"/>
  <c r="C187" i="28"/>
  <c r="D290" i="28"/>
  <c r="R193" i="28"/>
  <c r="D296" i="28"/>
  <c r="C193" i="28"/>
  <c r="E288" i="28"/>
  <c r="K288" i="28" s="1"/>
  <c r="N161" i="28"/>
  <c r="O161" i="28" s="1"/>
  <c r="P231" i="28"/>
  <c r="Q231" i="28" s="1"/>
  <c r="P166" i="28"/>
  <c r="Q166" i="28" s="1"/>
  <c r="K166" i="28"/>
  <c r="N165" i="28"/>
  <c r="O165" i="28" s="1"/>
  <c r="P235" i="28"/>
  <c r="Q235" i="28" s="1"/>
  <c r="E294" i="28"/>
  <c r="K294" i="28" s="1"/>
  <c r="H191" i="28"/>
  <c r="P232" i="28"/>
  <c r="Q232" i="28" s="1"/>
  <c r="N162" i="28"/>
  <c r="O162" i="28" s="1"/>
  <c r="E297" i="28"/>
  <c r="K297" i="28" s="1"/>
  <c r="H194" i="28"/>
  <c r="D295" i="28"/>
  <c r="R192" i="28"/>
  <c r="C192" i="28"/>
  <c r="K161" i="28"/>
  <c r="P161" i="28"/>
  <c r="Q161" i="28" s="1"/>
  <c r="D222" i="24"/>
  <c r="B225" i="24"/>
  <c r="B224" i="24"/>
  <c r="B223" i="24"/>
  <c r="B222" i="24"/>
  <c r="B221" i="24"/>
  <c r="C241" i="34" l="1"/>
  <c r="P158" i="34"/>
  <c r="Q158" i="34" s="1"/>
  <c r="R158" i="34" s="1"/>
  <c r="C297" i="33"/>
  <c r="P214" i="33"/>
  <c r="Q214" i="33" s="1"/>
  <c r="R214" i="33" s="1"/>
  <c r="R235" i="28"/>
  <c r="R231" i="28"/>
  <c r="R228" i="28"/>
  <c r="R230" i="28"/>
  <c r="R232" i="28"/>
  <c r="R236" i="28"/>
  <c r="R233" i="28"/>
  <c r="R229" i="28"/>
  <c r="S227" i="28"/>
  <c r="R234" i="28"/>
  <c r="C290" i="28"/>
  <c r="P207" i="28"/>
  <c r="Q207" i="28" s="1"/>
  <c r="R207" i="28" s="1"/>
  <c r="C288" i="28"/>
  <c r="P205" i="28"/>
  <c r="Q205" i="28" s="1"/>
  <c r="R205" i="28" s="1"/>
  <c r="C295" i="28"/>
  <c r="P212" i="28"/>
  <c r="Q212" i="28" s="1"/>
  <c r="R212" i="28" s="1"/>
  <c r="P206" i="28"/>
  <c r="Q206" i="28" s="1"/>
  <c r="R206" i="28" s="1"/>
  <c r="C289" i="28"/>
  <c r="C296" i="28"/>
  <c r="P213" i="28"/>
  <c r="Q213" i="28" s="1"/>
  <c r="R213" i="28" s="1"/>
  <c r="C293" i="28"/>
  <c r="P210" i="28"/>
  <c r="Q210" i="28" s="1"/>
  <c r="R210" i="28" s="1"/>
  <c r="C291" i="28"/>
  <c r="P208" i="28"/>
  <c r="Q208" i="28" s="1"/>
  <c r="R208" i="28" s="1"/>
  <c r="C292" i="28"/>
  <c r="P209" i="28"/>
  <c r="Q209" i="28" s="1"/>
  <c r="R209" i="28" s="1"/>
  <c r="P211" i="28"/>
  <c r="Q211" i="28" s="1"/>
  <c r="R211" i="28" s="1"/>
  <c r="C294" i="28"/>
  <c r="P214" i="28"/>
  <c r="Q214" i="28" s="1"/>
  <c r="R214" i="28" s="1"/>
  <c r="C297" i="28"/>
  <c r="Q202" i="24"/>
  <c r="Q203" i="24"/>
  <c r="Q204" i="24"/>
  <c r="Q205" i="24"/>
  <c r="Q206" i="24"/>
  <c r="Q207" i="24"/>
  <c r="Q208" i="24"/>
  <c r="Q209" i="24"/>
  <c r="Q210" i="24"/>
  <c r="Q201" i="24"/>
  <c r="R192" i="24"/>
  <c r="R191" i="24"/>
  <c r="R190" i="24"/>
  <c r="R189" i="24"/>
  <c r="R188" i="24"/>
  <c r="R187" i="24"/>
  <c r="R186" i="24"/>
  <c r="R185" i="24"/>
  <c r="R184" i="24"/>
  <c r="R183" i="24"/>
  <c r="AD161" i="24"/>
  <c r="AD162" i="24"/>
  <c r="AD163" i="24"/>
  <c r="AD164" i="24"/>
  <c r="AD165" i="24"/>
  <c r="AD166" i="24"/>
  <c r="AD167" i="24"/>
  <c r="AD168" i="24"/>
  <c r="AD169" i="24"/>
  <c r="AD160" i="24"/>
  <c r="AB160" i="24"/>
  <c r="AB169" i="24"/>
  <c r="AB168" i="24"/>
  <c r="AB167" i="24"/>
  <c r="AB166" i="24"/>
  <c r="AB165" i="24"/>
  <c r="AB164" i="24"/>
  <c r="AB163" i="24"/>
  <c r="AB162" i="24"/>
  <c r="AB161" i="24"/>
  <c r="Z161" i="24"/>
  <c r="Z162" i="24"/>
  <c r="Z163" i="24"/>
  <c r="Z164" i="24"/>
  <c r="Z165" i="24"/>
  <c r="Z166" i="24"/>
  <c r="Z167" i="24"/>
  <c r="Z168" i="24"/>
  <c r="Z169" i="24"/>
  <c r="Z160" i="24"/>
  <c r="I138" i="17"/>
  <c r="K138" i="17" s="1"/>
  <c r="I137" i="17"/>
  <c r="K137" i="17" s="1"/>
  <c r="I136" i="17"/>
  <c r="K136" i="17" s="1"/>
  <c r="I135" i="17"/>
  <c r="K135" i="17" s="1"/>
  <c r="I134" i="17"/>
  <c r="K134" i="17" s="1"/>
  <c r="I133" i="17"/>
  <c r="K133" i="17" s="1"/>
  <c r="I132" i="17"/>
  <c r="K132" i="17" s="1"/>
  <c r="I131" i="17"/>
  <c r="K131" i="17" s="1"/>
  <c r="I130" i="17"/>
  <c r="K130" i="17" s="1"/>
  <c r="I129" i="17"/>
  <c r="K129" i="17" s="1"/>
  <c r="K129" i="24"/>
  <c r="I130" i="24"/>
  <c r="K130" i="24" s="1"/>
  <c r="I131" i="24"/>
  <c r="K131" i="24" s="1"/>
  <c r="I132" i="24"/>
  <c r="K132" i="24" s="1"/>
  <c r="I133" i="24"/>
  <c r="K133" i="24" s="1"/>
  <c r="I134" i="24"/>
  <c r="K134" i="24" s="1"/>
  <c r="I135" i="24"/>
  <c r="K135" i="24" s="1"/>
  <c r="I136" i="24"/>
  <c r="K136" i="24" s="1"/>
  <c r="I137" i="24"/>
  <c r="K137" i="24" s="1"/>
  <c r="I138" i="24"/>
  <c r="K138" i="24" s="1"/>
  <c r="I129" i="24"/>
  <c r="L241" i="24"/>
  <c r="P241" i="24" s="1"/>
  <c r="J241" i="24"/>
  <c r="L240" i="24"/>
  <c r="P240" i="24" s="1"/>
  <c r="J240" i="24"/>
  <c r="L239" i="24"/>
  <c r="P239" i="24" s="1"/>
  <c r="J239" i="24"/>
  <c r="L238" i="24"/>
  <c r="P238" i="24" s="1"/>
  <c r="J238" i="24"/>
  <c r="L237" i="24"/>
  <c r="P237" i="24" s="1"/>
  <c r="J237" i="24"/>
  <c r="L236" i="24"/>
  <c r="P236" i="24" s="1"/>
  <c r="J236" i="24"/>
  <c r="L235" i="24"/>
  <c r="P235" i="24" s="1"/>
  <c r="J235" i="24"/>
  <c r="L234" i="24"/>
  <c r="P234" i="24" s="1"/>
  <c r="J234" i="24"/>
  <c r="L233" i="24"/>
  <c r="P233" i="24" s="1"/>
  <c r="J233" i="24"/>
  <c r="L232" i="24"/>
  <c r="P232" i="24" s="1"/>
  <c r="J232" i="24"/>
  <c r="B229" i="24"/>
  <c r="L210" i="24"/>
  <c r="L209" i="24"/>
  <c r="L208" i="24"/>
  <c r="L207" i="24"/>
  <c r="L206" i="24"/>
  <c r="L205" i="24"/>
  <c r="L204" i="24"/>
  <c r="L203" i="24"/>
  <c r="L202" i="24"/>
  <c r="B202" i="24"/>
  <c r="L201" i="24"/>
  <c r="B201" i="24"/>
  <c r="M201" i="24" s="1"/>
  <c r="B200" i="24"/>
  <c r="L180" i="24"/>
  <c r="L179" i="24"/>
  <c r="L178" i="24"/>
  <c r="L177" i="24"/>
  <c r="L176" i="24"/>
  <c r="L175" i="24"/>
  <c r="L174" i="24"/>
  <c r="L173" i="24"/>
  <c r="L172" i="24"/>
  <c r="B172" i="24"/>
  <c r="L171" i="24"/>
  <c r="B171" i="24"/>
  <c r="M171" i="24" s="1"/>
  <c r="B170" i="24"/>
  <c r="H149" i="24"/>
  <c r="I149" i="24" s="1"/>
  <c r="M149" i="24" s="1"/>
  <c r="Q147" i="24"/>
  <c r="R147" i="24" s="1"/>
  <c r="G138" i="24"/>
  <c r="H241" i="24" s="1"/>
  <c r="G137" i="24"/>
  <c r="F209" i="24" s="1"/>
  <c r="G209" i="24" s="1"/>
  <c r="G136" i="24"/>
  <c r="H239" i="24" s="1"/>
  <c r="G135" i="24"/>
  <c r="G134" i="24"/>
  <c r="H237" i="24" s="1"/>
  <c r="G133" i="24"/>
  <c r="G132" i="24"/>
  <c r="H235" i="24" s="1"/>
  <c r="G131" i="24"/>
  <c r="G130" i="24"/>
  <c r="H233" i="24" s="1"/>
  <c r="G129" i="24"/>
  <c r="F201" i="24" s="1"/>
  <c r="G201" i="24" s="1"/>
  <c r="F110" i="24"/>
  <c r="F109" i="24"/>
  <c r="F108" i="24"/>
  <c r="F107" i="24"/>
  <c r="F106" i="24"/>
  <c r="F134" i="24" s="1"/>
  <c r="G237" i="24" s="1"/>
  <c r="F105" i="24"/>
  <c r="F133" i="24" s="1"/>
  <c r="F175" i="24" s="1"/>
  <c r="G175" i="24" s="1"/>
  <c r="F104" i="24"/>
  <c r="F103" i="24"/>
  <c r="F102" i="24"/>
  <c r="F101" i="24"/>
  <c r="E39" i="24"/>
  <c r="J110" i="24" s="1"/>
  <c r="E38" i="24"/>
  <c r="J109" i="24" s="1"/>
  <c r="E37" i="24"/>
  <c r="J108" i="24" s="1"/>
  <c r="E36" i="24"/>
  <c r="J107" i="24" s="1"/>
  <c r="E35" i="24"/>
  <c r="J106" i="24" s="1"/>
  <c r="E34" i="24"/>
  <c r="J105" i="24" s="1"/>
  <c r="E33" i="24"/>
  <c r="J104" i="24" s="1"/>
  <c r="E32" i="24"/>
  <c r="J103" i="24" s="1"/>
  <c r="E31" i="24"/>
  <c r="J102" i="24" s="1"/>
  <c r="E30" i="24"/>
  <c r="J101" i="24" s="1"/>
  <c r="F237" i="24" l="1"/>
  <c r="I153" i="24"/>
  <c r="M153" i="24" s="1"/>
  <c r="S233" i="28"/>
  <c r="S247" i="28"/>
  <c r="S234" i="28"/>
  <c r="S248" i="28"/>
  <c r="S236" i="28"/>
  <c r="S250" i="28"/>
  <c r="S232" i="28"/>
  <c r="S246" i="28"/>
  <c r="S235" i="28"/>
  <c r="S249" i="28"/>
  <c r="S230" i="28"/>
  <c r="S244" i="28"/>
  <c r="S228" i="28"/>
  <c r="S242" i="28"/>
  <c r="S231" i="28"/>
  <c r="S245" i="28"/>
  <c r="S229" i="28"/>
  <c r="S243" i="28"/>
  <c r="N180" i="24"/>
  <c r="O180" i="24" s="1"/>
  <c r="N174" i="24"/>
  <c r="O174" i="24" s="1"/>
  <c r="H175" i="24"/>
  <c r="M236" i="24" s="1"/>
  <c r="H209" i="24"/>
  <c r="N240" i="24" s="1"/>
  <c r="N176" i="24"/>
  <c r="O176" i="24" s="1"/>
  <c r="N201" i="24"/>
  <c r="O201" i="24" s="1"/>
  <c r="N207" i="24"/>
  <c r="O207" i="24" s="1"/>
  <c r="D133" i="24"/>
  <c r="D134" i="24"/>
  <c r="N204" i="24"/>
  <c r="O204" i="24" s="1"/>
  <c r="N208" i="24"/>
  <c r="O208" i="24" s="1"/>
  <c r="N202" i="24"/>
  <c r="O202" i="24" s="1"/>
  <c r="N210" i="24"/>
  <c r="O210" i="24" s="1"/>
  <c r="F210" i="24"/>
  <c r="G210" i="24" s="1"/>
  <c r="H210" i="24" s="1"/>
  <c r="N241" i="24" s="1"/>
  <c r="H240" i="24"/>
  <c r="F208" i="24"/>
  <c r="G208" i="24" s="1"/>
  <c r="H208" i="24" s="1"/>
  <c r="N239" i="24" s="1"/>
  <c r="F206" i="24"/>
  <c r="G206" i="24" s="1"/>
  <c r="H206" i="24" s="1"/>
  <c r="N237" i="24" s="1"/>
  <c r="F202" i="24"/>
  <c r="G202" i="24" s="1"/>
  <c r="H202" i="24" s="1"/>
  <c r="N233" i="24" s="1"/>
  <c r="H232" i="24"/>
  <c r="F129" i="24"/>
  <c r="E101" i="24"/>
  <c r="F135" i="24"/>
  <c r="D135" i="24" s="1"/>
  <c r="E107" i="24"/>
  <c r="F131" i="24"/>
  <c r="D131" i="24" s="1"/>
  <c r="E103" i="24"/>
  <c r="F137" i="24"/>
  <c r="D137" i="24" s="1"/>
  <c r="E109" i="24"/>
  <c r="F136" i="24"/>
  <c r="D136" i="24" s="1"/>
  <c r="E108" i="24"/>
  <c r="F130" i="24"/>
  <c r="D130" i="24" s="1"/>
  <c r="E102" i="24"/>
  <c r="E104" i="24"/>
  <c r="G236" i="24"/>
  <c r="F236" i="24" s="1"/>
  <c r="H238" i="24"/>
  <c r="F207" i="24"/>
  <c r="G207" i="24" s="1"/>
  <c r="H207" i="24" s="1"/>
  <c r="N238" i="24" s="1"/>
  <c r="F138" i="24"/>
  <c r="D138" i="24" s="1"/>
  <c r="I155" i="24"/>
  <c r="M155" i="24" s="1"/>
  <c r="I151" i="24"/>
  <c r="M151" i="24" s="1"/>
  <c r="I158" i="24"/>
  <c r="M158" i="24" s="1"/>
  <c r="I156" i="24"/>
  <c r="M156" i="24" s="1"/>
  <c r="F176" i="24"/>
  <c r="G176" i="24" s="1"/>
  <c r="H176" i="24" s="1"/>
  <c r="M237" i="24" s="1"/>
  <c r="F204" i="24"/>
  <c r="G204" i="24" s="1"/>
  <c r="H204" i="24" s="1"/>
  <c r="N235" i="24" s="1"/>
  <c r="N206" i="24"/>
  <c r="O206" i="24" s="1"/>
  <c r="N209" i="24"/>
  <c r="O209" i="24" s="1"/>
  <c r="I154" i="24"/>
  <c r="M154" i="24" s="1"/>
  <c r="N175" i="24"/>
  <c r="O175" i="24" s="1"/>
  <c r="E105" i="24"/>
  <c r="E106" i="24"/>
  <c r="H201" i="24"/>
  <c r="N232" i="24" s="1"/>
  <c r="F132" i="24"/>
  <c r="D132" i="24" s="1"/>
  <c r="E133" i="24"/>
  <c r="E236" i="24" s="1"/>
  <c r="E134" i="24"/>
  <c r="I150" i="24"/>
  <c r="M150" i="24" s="1"/>
  <c r="I152" i="24"/>
  <c r="M152" i="24" s="1"/>
  <c r="I157" i="24"/>
  <c r="M157" i="24" s="1"/>
  <c r="N172" i="24"/>
  <c r="O172" i="24" s="1"/>
  <c r="N177" i="24"/>
  <c r="O177" i="24" s="1"/>
  <c r="N178" i="24"/>
  <c r="O178" i="24" s="1"/>
  <c r="N179" i="24"/>
  <c r="O179" i="24" s="1"/>
  <c r="N203" i="24"/>
  <c r="O203" i="24" s="1"/>
  <c r="H234" i="24"/>
  <c r="F203" i="24"/>
  <c r="G203" i="24" s="1"/>
  <c r="H203" i="24" s="1"/>
  <c r="N234" i="24" s="1"/>
  <c r="F205" i="24"/>
  <c r="G205" i="24" s="1"/>
  <c r="H205" i="24" s="1"/>
  <c r="N236" i="24" s="1"/>
  <c r="H236" i="24"/>
  <c r="N171" i="24"/>
  <c r="O171" i="24" s="1"/>
  <c r="E110" i="24"/>
  <c r="N173" i="24"/>
  <c r="O173" i="24" s="1"/>
  <c r="N205" i="24"/>
  <c r="O205" i="24" s="1"/>
  <c r="B229" i="17"/>
  <c r="B229" i="23"/>
  <c r="F102" i="23"/>
  <c r="F103" i="23"/>
  <c r="F104" i="23"/>
  <c r="F105" i="23"/>
  <c r="F106" i="23"/>
  <c r="F107" i="23"/>
  <c r="F108" i="23"/>
  <c r="F109" i="23"/>
  <c r="F110" i="23"/>
  <c r="F101" i="23"/>
  <c r="F129" i="23" s="1"/>
  <c r="L241" i="23"/>
  <c r="P241" i="23" s="1"/>
  <c r="J241" i="23"/>
  <c r="I241" i="23"/>
  <c r="L240" i="23"/>
  <c r="P240" i="23" s="1"/>
  <c r="J240" i="23"/>
  <c r="I240" i="23"/>
  <c r="L239" i="23"/>
  <c r="P239" i="23" s="1"/>
  <c r="J239" i="23"/>
  <c r="I239" i="23"/>
  <c r="L238" i="23"/>
  <c r="P238" i="23" s="1"/>
  <c r="J238" i="23"/>
  <c r="I238" i="23"/>
  <c r="L237" i="23"/>
  <c r="P237" i="23" s="1"/>
  <c r="J237" i="23"/>
  <c r="I237" i="23"/>
  <c r="L236" i="23"/>
  <c r="P236" i="23" s="1"/>
  <c r="J236" i="23"/>
  <c r="I236" i="23"/>
  <c r="L235" i="23"/>
  <c r="P235" i="23" s="1"/>
  <c r="J235" i="23"/>
  <c r="I235" i="23"/>
  <c r="L234" i="23"/>
  <c r="P234" i="23" s="1"/>
  <c r="J234" i="23"/>
  <c r="I234" i="23"/>
  <c r="L233" i="23"/>
  <c r="P233" i="23" s="1"/>
  <c r="J233" i="23"/>
  <c r="I233" i="23"/>
  <c r="L232" i="23"/>
  <c r="P232" i="23" s="1"/>
  <c r="J232" i="23"/>
  <c r="I232" i="23"/>
  <c r="L210" i="23"/>
  <c r="L209" i="23"/>
  <c r="L208" i="23"/>
  <c r="L207" i="23"/>
  <c r="L206" i="23"/>
  <c r="L205" i="23"/>
  <c r="L204" i="23"/>
  <c r="L203" i="23"/>
  <c r="L202" i="23"/>
  <c r="B202" i="23"/>
  <c r="L201" i="23"/>
  <c r="B201" i="23"/>
  <c r="M201" i="23" s="1"/>
  <c r="B200" i="23"/>
  <c r="L180" i="23"/>
  <c r="L179" i="23"/>
  <c r="L178" i="23"/>
  <c r="L177" i="23"/>
  <c r="L176" i="23"/>
  <c r="L175" i="23"/>
  <c r="L174" i="23"/>
  <c r="L173" i="23"/>
  <c r="L172" i="23"/>
  <c r="B172" i="23"/>
  <c r="L171" i="23"/>
  <c r="B171" i="23"/>
  <c r="M171" i="23" s="1"/>
  <c r="B170" i="23"/>
  <c r="H149" i="23"/>
  <c r="I158" i="23" s="1"/>
  <c r="M158" i="23" s="1"/>
  <c r="Q147" i="23"/>
  <c r="R147" i="23" s="1"/>
  <c r="G138" i="23"/>
  <c r="G137" i="23"/>
  <c r="H240" i="23" s="1"/>
  <c r="G136" i="23"/>
  <c r="F208" i="23" s="1"/>
  <c r="G208" i="23" s="1"/>
  <c r="G135" i="23"/>
  <c r="H238" i="23" s="1"/>
  <c r="G134" i="23"/>
  <c r="G133" i="23"/>
  <c r="H236" i="23" s="1"/>
  <c r="G132" i="23"/>
  <c r="H235" i="23" s="1"/>
  <c r="G131" i="23"/>
  <c r="H234" i="23" s="1"/>
  <c r="G130" i="23"/>
  <c r="G129" i="23"/>
  <c r="H232" i="23" s="1"/>
  <c r="E39" i="23"/>
  <c r="J110" i="23" s="1"/>
  <c r="E38" i="23"/>
  <c r="J109" i="23" s="1"/>
  <c r="E37" i="23"/>
  <c r="J108" i="23" s="1"/>
  <c r="E36" i="23"/>
  <c r="J107" i="23" s="1"/>
  <c r="E35" i="23"/>
  <c r="J106" i="23" s="1"/>
  <c r="E34" i="23"/>
  <c r="J105" i="23" s="1"/>
  <c r="E33" i="23"/>
  <c r="J104" i="23" s="1"/>
  <c r="E32" i="23"/>
  <c r="J103" i="23" s="1"/>
  <c r="E31" i="23"/>
  <c r="J102" i="23" s="1"/>
  <c r="E30" i="23"/>
  <c r="J101" i="23" s="1"/>
  <c r="J241" i="17"/>
  <c r="I241" i="17"/>
  <c r="J240" i="17"/>
  <c r="I240" i="17"/>
  <c r="J239" i="17"/>
  <c r="I239" i="17"/>
  <c r="J238" i="17"/>
  <c r="I238" i="17"/>
  <c r="J237" i="17"/>
  <c r="I237" i="17"/>
  <c r="J236" i="17"/>
  <c r="I236" i="17"/>
  <c r="J235" i="17"/>
  <c r="I235" i="17"/>
  <c r="J234" i="17"/>
  <c r="I234" i="17"/>
  <c r="J233" i="17"/>
  <c r="I233" i="17"/>
  <c r="J232" i="17"/>
  <c r="I232" i="17"/>
  <c r="D129" i="23" l="1"/>
  <c r="C129" i="23" s="1"/>
  <c r="I155" i="23"/>
  <c r="M155" i="23" s="1"/>
  <c r="D129" i="24"/>
  <c r="C129" i="24" s="1"/>
  <c r="G232" i="23"/>
  <c r="F232" i="23" s="1"/>
  <c r="I151" i="23"/>
  <c r="M151" i="23" s="1"/>
  <c r="N205" i="23"/>
  <c r="O205" i="23" s="1"/>
  <c r="I157" i="23"/>
  <c r="M157" i="23" s="1"/>
  <c r="N171" i="23"/>
  <c r="O171" i="23" s="1"/>
  <c r="N209" i="23"/>
  <c r="O209" i="23" s="1"/>
  <c r="H208" i="23"/>
  <c r="N239" i="23" s="1"/>
  <c r="E101" i="23"/>
  <c r="M101" i="23" s="1"/>
  <c r="M101" i="24"/>
  <c r="P171" i="24" s="1"/>
  <c r="Q171" i="24" s="1"/>
  <c r="R171" i="24" s="1"/>
  <c r="S171" i="24" s="1"/>
  <c r="H101" i="24"/>
  <c r="H133" i="24"/>
  <c r="E129" i="24"/>
  <c r="G232" i="24"/>
  <c r="F232" i="24" s="1"/>
  <c r="F171" i="24"/>
  <c r="G171" i="24" s="1"/>
  <c r="H171" i="24" s="1"/>
  <c r="M232" i="24" s="1"/>
  <c r="E237" i="24"/>
  <c r="K237" i="24" s="1"/>
  <c r="H134" i="24"/>
  <c r="M104" i="24"/>
  <c r="H104" i="24"/>
  <c r="M108" i="24"/>
  <c r="H108" i="24"/>
  <c r="F177" i="24"/>
  <c r="G177" i="24" s="1"/>
  <c r="H177" i="24" s="1"/>
  <c r="M238" i="24" s="1"/>
  <c r="G238" i="24"/>
  <c r="F238" i="24" s="1"/>
  <c r="E135" i="24"/>
  <c r="C133" i="24"/>
  <c r="D236" i="24"/>
  <c r="R133" i="24"/>
  <c r="G241" i="24"/>
  <c r="F241" i="24" s="1"/>
  <c r="E138" i="24"/>
  <c r="F180" i="24"/>
  <c r="G180" i="24" s="1"/>
  <c r="H180" i="24" s="1"/>
  <c r="M241" i="24" s="1"/>
  <c r="M109" i="24"/>
  <c r="H109" i="24"/>
  <c r="F173" i="24"/>
  <c r="G173" i="24" s="1"/>
  <c r="H173" i="24" s="1"/>
  <c r="M234" i="24" s="1"/>
  <c r="G234" i="24"/>
  <c r="F234" i="24" s="1"/>
  <c r="E131" i="24"/>
  <c r="M110" i="24"/>
  <c r="H110" i="24"/>
  <c r="M105" i="24"/>
  <c r="H105" i="24"/>
  <c r="E130" i="24"/>
  <c r="G233" i="24"/>
  <c r="F233" i="24" s="1"/>
  <c r="F172" i="24"/>
  <c r="G172" i="24" s="1"/>
  <c r="H172" i="24" s="1"/>
  <c r="M233" i="24" s="1"/>
  <c r="M103" i="24"/>
  <c r="H103" i="24"/>
  <c r="C134" i="24"/>
  <c r="D237" i="24"/>
  <c r="R134" i="24"/>
  <c r="K236" i="24"/>
  <c r="G235" i="24"/>
  <c r="F235" i="24" s="1"/>
  <c r="E132" i="24"/>
  <c r="F174" i="24"/>
  <c r="G174" i="24" s="1"/>
  <c r="H174" i="24" s="1"/>
  <c r="M235" i="24" s="1"/>
  <c r="M106" i="24"/>
  <c r="H106" i="24"/>
  <c r="M102" i="24"/>
  <c r="H102" i="24"/>
  <c r="G239" i="24"/>
  <c r="F239" i="24" s="1"/>
  <c r="E136" i="24"/>
  <c r="F178" i="24"/>
  <c r="G178" i="24" s="1"/>
  <c r="H178" i="24" s="1"/>
  <c r="M239" i="24" s="1"/>
  <c r="F179" i="24"/>
  <c r="G179" i="24" s="1"/>
  <c r="H179" i="24" s="1"/>
  <c r="M240" i="24" s="1"/>
  <c r="G240" i="24"/>
  <c r="F240" i="24" s="1"/>
  <c r="E137" i="24"/>
  <c r="M107" i="24"/>
  <c r="H107" i="24"/>
  <c r="N177" i="23"/>
  <c r="O177" i="23" s="1"/>
  <c r="I152" i="23"/>
  <c r="M152" i="23" s="1"/>
  <c r="I156" i="23"/>
  <c r="M156" i="23" s="1"/>
  <c r="I149" i="23"/>
  <c r="M149" i="23" s="1"/>
  <c r="I153" i="23"/>
  <c r="M153" i="23" s="1"/>
  <c r="H239" i="23"/>
  <c r="F205" i="23"/>
  <c r="G205" i="23" s="1"/>
  <c r="H205" i="23" s="1"/>
  <c r="N236" i="23" s="1"/>
  <c r="F209" i="23"/>
  <c r="G209" i="23" s="1"/>
  <c r="H209" i="23" s="1"/>
  <c r="N240" i="23" s="1"/>
  <c r="F203" i="23"/>
  <c r="G203" i="23" s="1"/>
  <c r="H203" i="23" s="1"/>
  <c r="N234" i="23" s="1"/>
  <c r="F207" i="23"/>
  <c r="G207" i="23" s="1"/>
  <c r="H207" i="23" s="1"/>
  <c r="N238" i="23" s="1"/>
  <c r="F201" i="23"/>
  <c r="G201" i="23" s="1"/>
  <c r="H201" i="23" s="1"/>
  <c r="N232" i="23" s="1"/>
  <c r="E103" i="23"/>
  <c r="F131" i="23"/>
  <c r="F136" i="23"/>
  <c r="E108" i="23"/>
  <c r="E105" i="23"/>
  <c r="F133" i="23"/>
  <c r="E102" i="23"/>
  <c r="F130" i="23"/>
  <c r="E107" i="23"/>
  <c r="F135" i="23"/>
  <c r="F132" i="23"/>
  <c r="E104" i="23"/>
  <c r="E109" i="23"/>
  <c r="F137" i="23"/>
  <c r="H241" i="23"/>
  <c r="F210" i="23"/>
  <c r="G210" i="23" s="1"/>
  <c r="H210" i="23" s="1"/>
  <c r="N241" i="23" s="1"/>
  <c r="F171" i="23"/>
  <c r="G171" i="23" s="1"/>
  <c r="H171" i="23" s="1"/>
  <c r="M232" i="23" s="1"/>
  <c r="E110" i="23"/>
  <c r="N175" i="23"/>
  <c r="O175" i="23" s="1"/>
  <c r="N179" i="23"/>
  <c r="O179" i="23" s="1"/>
  <c r="N210" i="23"/>
  <c r="O210" i="23" s="1"/>
  <c r="N206" i="23"/>
  <c r="O206" i="23" s="1"/>
  <c r="N202" i="23"/>
  <c r="O202" i="23" s="1"/>
  <c r="N201" i="23"/>
  <c r="O201" i="23" s="1"/>
  <c r="N203" i="23"/>
  <c r="O203" i="23" s="1"/>
  <c r="N204" i="23"/>
  <c r="O204" i="23" s="1"/>
  <c r="H237" i="23"/>
  <c r="F206" i="23"/>
  <c r="G206" i="23" s="1"/>
  <c r="H206" i="23" s="1"/>
  <c r="N237" i="23" s="1"/>
  <c r="F138" i="23"/>
  <c r="N180" i="23"/>
  <c r="O180" i="23" s="1"/>
  <c r="N178" i="23"/>
  <c r="O178" i="23" s="1"/>
  <c r="N176" i="23"/>
  <c r="O176" i="23" s="1"/>
  <c r="N174" i="23"/>
  <c r="O174" i="23" s="1"/>
  <c r="N172" i="23"/>
  <c r="O172" i="23" s="1"/>
  <c r="N173" i="23"/>
  <c r="O173" i="23" s="1"/>
  <c r="F204" i="23"/>
  <c r="G204" i="23" s="1"/>
  <c r="H204" i="23" s="1"/>
  <c r="N235" i="23" s="1"/>
  <c r="N207" i="23"/>
  <c r="O207" i="23" s="1"/>
  <c r="N208" i="23"/>
  <c r="O208" i="23" s="1"/>
  <c r="E129" i="23"/>
  <c r="E106" i="23"/>
  <c r="F134" i="23"/>
  <c r="H233" i="23"/>
  <c r="F202" i="23"/>
  <c r="G202" i="23" s="1"/>
  <c r="H202" i="23" s="1"/>
  <c r="N233" i="23" s="1"/>
  <c r="I150" i="23"/>
  <c r="M150" i="23" s="1"/>
  <c r="I154" i="23"/>
  <c r="M154" i="23" s="1"/>
  <c r="E138" i="17"/>
  <c r="H138" i="17" s="1"/>
  <c r="R138" i="17"/>
  <c r="E137" i="17"/>
  <c r="H137" i="17" s="1"/>
  <c r="R137" i="17"/>
  <c r="E136" i="17"/>
  <c r="E239" i="17" s="1"/>
  <c r="R136" i="17"/>
  <c r="E135" i="17"/>
  <c r="H135" i="17" s="1"/>
  <c r="D238" i="17"/>
  <c r="E134" i="17"/>
  <c r="H134" i="17" s="1"/>
  <c r="R134" i="17"/>
  <c r="E133" i="17"/>
  <c r="H133" i="17" s="1"/>
  <c r="R133" i="17"/>
  <c r="E132" i="17"/>
  <c r="H132" i="17" s="1"/>
  <c r="R132" i="17"/>
  <c r="E131" i="17"/>
  <c r="E234" i="17" s="1"/>
  <c r="D234" i="17"/>
  <c r="E130" i="17"/>
  <c r="H130" i="17" s="1"/>
  <c r="R130" i="17"/>
  <c r="E129" i="17"/>
  <c r="H129" i="17" s="1"/>
  <c r="R129" i="17"/>
  <c r="L241" i="17"/>
  <c r="P241" i="17" s="1"/>
  <c r="H241" i="17"/>
  <c r="G241" i="17"/>
  <c r="F241" i="17" s="1"/>
  <c r="L240" i="17"/>
  <c r="P240" i="17" s="1"/>
  <c r="H240" i="17"/>
  <c r="G240" i="17"/>
  <c r="F240" i="17" s="1"/>
  <c r="L239" i="17"/>
  <c r="P239" i="17" s="1"/>
  <c r="H239" i="17"/>
  <c r="G239" i="17"/>
  <c r="F239" i="17" s="1"/>
  <c r="L238" i="17"/>
  <c r="P238" i="17" s="1"/>
  <c r="H238" i="17"/>
  <c r="G238" i="17"/>
  <c r="F238" i="17" s="1"/>
  <c r="L237" i="17"/>
  <c r="P237" i="17" s="1"/>
  <c r="H237" i="17"/>
  <c r="G237" i="17"/>
  <c r="F237" i="17" s="1"/>
  <c r="L236" i="17"/>
  <c r="P236" i="17" s="1"/>
  <c r="H236" i="17"/>
  <c r="G236" i="17"/>
  <c r="F236" i="17" s="1"/>
  <c r="L235" i="17"/>
  <c r="P235" i="17" s="1"/>
  <c r="H235" i="17"/>
  <c r="G235" i="17"/>
  <c r="F235" i="17" s="1"/>
  <c r="L234" i="17"/>
  <c r="P234" i="17" s="1"/>
  <c r="H234" i="17"/>
  <c r="G234" i="17"/>
  <c r="F234" i="17" s="1"/>
  <c r="L233" i="17"/>
  <c r="P233" i="17" s="1"/>
  <c r="H233" i="17"/>
  <c r="G233" i="17"/>
  <c r="F233" i="17" s="1"/>
  <c r="L232" i="17"/>
  <c r="P232" i="17" s="1"/>
  <c r="H232" i="17"/>
  <c r="G232" i="17"/>
  <c r="F232" i="17" s="1"/>
  <c r="K234" i="17" l="1"/>
  <c r="E232" i="17"/>
  <c r="E240" i="17"/>
  <c r="K240" i="17" s="1"/>
  <c r="H136" i="17"/>
  <c r="E237" i="17"/>
  <c r="K237" i="17" s="1"/>
  <c r="H131" i="17"/>
  <c r="E241" i="17"/>
  <c r="K241" i="17" s="1"/>
  <c r="K239" i="17"/>
  <c r="D235" i="17"/>
  <c r="E238" i="17"/>
  <c r="K238" i="17" s="1"/>
  <c r="K232" i="17"/>
  <c r="E235" i="17"/>
  <c r="K235" i="17" s="1"/>
  <c r="E233" i="17"/>
  <c r="K233" i="17" s="1"/>
  <c r="E236" i="17"/>
  <c r="K236" i="17" s="1"/>
  <c r="N101" i="24"/>
  <c r="O101" i="24" s="1"/>
  <c r="D236" i="17"/>
  <c r="D239" i="17"/>
  <c r="C131" i="17"/>
  <c r="C234" i="17" s="1"/>
  <c r="R131" i="17"/>
  <c r="C132" i="17"/>
  <c r="C235" i="17" s="1"/>
  <c r="C136" i="17"/>
  <c r="C239" i="17" s="1"/>
  <c r="K101" i="24"/>
  <c r="P101" i="24"/>
  <c r="Q101" i="24" s="1"/>
  <c r="E232" i="24"/>
  <c r="K232" i="24" s="1"/>
  <c r="H129" i="24"/>
  <c r="R129" i="24"/>
  <c r="D232" i="24"/>
  <c r="R132" i="24"/>
  <c r="C132" i="24"/>
  <c r="D235" i="24"/>
  <c r="E234" i="24"/>
  <c r="K234" i="24" s="1"/>
  <c r="H131" i="24"/>
  <c r="P109" i="24"/>
  <c r="Q109" i="24" s="1"/>
  <c r="K109" i="24"/>
  <c r="R136" i="24"/>
  <c r="C136" i="24"/>
  <c r="D239" i="24"/>
  <c r="P172" i="24"/>
  <c r="Q172" i="24" s="1"/>
  <c r="R172" i="24" s="1"/>
  <c r="S172" i="24" s="1"/>
  <c r="N102" i="24"/>
  <c r="O102" i="24" s="1"/>
  <c r="P103" i="24"/>
  <c r="Q103" i="24" s="1"/>
  <c r="K103" i="24"/>
  <c r="E233" i="24"/>
  <c r="K233" i="24" s="1"/>
  <c r="H130" i="24"/>
  <c r="P179" i="24"/>
  <c r="Q179" i="24" s="1"/>
  <c r="R179" i="24" s="1"/>
  <c r="S179" i="24" s="1"/>
  <c r="N109" i="24"/>
  <c r="O109" i="24" s="1"/>
  <c r="C138" i="24"/>
  <c r="D241" i="24"/>
  <c r="R138" i="24"/>
  <c r="E238" i="24"/>
  <c r="K238" i="24" s="1"/>
  <c r="H135" i="24"/>
  <c r="P108" i="24"/>
  <c r="Q108" i="24" s="1"/>
  <c r="K108" i="24"/>
  <c r="P107" i="24"/>
  <c r="Q107" i="24" s="1"/>
  <c r="K107" i="24"/>
  <c r="E239" i="24"/>
  <c r="K239" i="24" s="1"/>
  <c r="H136" i="24"/>
  <c r="P106" i="24"/>
  <c r="Q106" i="24" s="1"/>
  <c r="K106" i="24"/>
  <c r="E235" i="24"/>
  <c r="K235" i="24" s="1"/>
  <c r="H132" i="24"/>
  <c r="P173" i="24"/>
  <c r="Q173" i="24" s="1"/>
  <c r="R173" i="24" s="1"/>
  <c r="S173" i="24" s="1"/>
  <c r="N103" i="24"/>
  <c r="O103" i="24" s="1"/>
  <c r="C130" i="24"/>
  <c r="D233" i="24"/>
  <c r="R130" i="24"/>
  <c r="K110" i="24"/>
  <c r="P110" i="24"/>
  <c r="Q110" i="24" s="1"/>
  <c r="D234" i="24"/>
  <c r="C131" i="24"/>
  <c r="R131" i="24"/>
  <c r="P178" i="24"/>
  <c r="Q178" i="24" s="1"/>
  <c r="R178" i="24" s="1"/>
  <c r="S178" i="24" s="1"/>
  <c r="N108" i="24"/>
  <c r="O108" i="24" s="1"/>
  <c r="P177" i="24"/>
  <c r="Q177" i="24" s="1"/>
  <c r="R177" i="24" s="1"/>
  <c r="S177" i="24" s="1"/>
  <c r="N107" i="24"/>
  <c r="O107" i="24" s="1"/>
  <c r="P176" i="24"/>
  <c r="Q176" i="24" s="1"/>
  <c r="R176" i="24" s="1"/>
  <c r="S176" i="24" s="1"/>
  <c r="N106" i="24"/>
  <c r="O106" i="24" s="1"/>
  <c r="K105" i="24"/>
  <c r="P105" i="24"/>
  <c r="Q105" i="24" s="1"/>
  <c r="P180" i="24"/>
  <c r="Q180" i="24" s="1"/>
  <c r="R180" i="24" s="1"/>
  <c r="S180" i="24" s="1"/>
  <c r="N110" i="24"/>
  <c r="O110" i="24" s="1"/>
  <c r="E241" i="24"/>
  <c r="K241" i="24" s="1"/>
  <c r="H138" i="24"/>
  <c r="D238" i="24"/>
  <c r="R135" i="24"/>
  <c r="C135" i="24"/>
  <c r="K104" i="24"/>
  <c r="P104" i="24"/>
  <c r="Q104" i="24" s="1"/>
  <c r="D240" i="24"/>
  <c r="R137" i="24"/>
  <c r="C137" i="24"/>
  <c r="K102" i="24"/>
  <c r="P102" i="24"/>
  <c r="Q102" i="24" s="1"/>
  <c r="P154" i="24"/>
  <c r="C237" i="24"/>
  <c r="P175" i="24"/>
  <c r="Q175" i="24" s="1"/>
  <c r="R175" i="24" s="1"/>
  <c r="S175" i="24" s="1"/>
  <c r="N105" i="24"/>
  <c r="O105" i="24" s="1"/>
  <c r="P153" i="24"/>
  <c r="C236" i="24"/>
  <c r="P174" i="24"/>
  <c r="Q174" i="24" s="1"/>
  <c r="R174" i="24" s="1"/>
  <c r="S174" i="24" s="1"/>
  <c r="N104" i="24"/>
  <c r="O104" i="24" s="1"/>
  <c r="E240" i="24"/>
  <c r="K240" i="24" s="1"/>
  <c r="H137" i="24"/>
  <c r="H106" i="23"/>
  <c r="M106" i="23"/>
  <c r="M107" i="23"/>
  <c r="H107" i="23"/>
  <c r="H103" i="23"/>
  <c r="P103" i="23" s="1"/>
  <c r="Q103" i="23" s="1"/>
  <c r="M103" i="23"/>
  <c r="E232" i="23"/>
  <c r="K232" i="23" s="1"/>
  <c r="H129" i="23"/>
  <c r="M109" i="23"/>
  <c r="H109" i="23"/>
  <c r="G233" i="23"/>
  <c r="F233" i="23" s="1"/>
  <c r="D130" i="23"/>
  <c r="C130" i="23" s="1"/>
  <c r="F172" i="23"/>
  <c r="G172" i="23" s="1"/>
  <c r="H172" i="23" s="1"/>
  <c r="M233" i="23" s="1"/>
  <c r="E130" i="23"/>
  <c r="D133" i="23"/>
  <c r="C133" i="23" s="1"/>
  <c r="F175" i="23"/>
  <c r="G175" i="23" s="1"/>
  <c r="H175" i="23" s="1"/>
  <c r="M236" i="23" s="1"/>
  <c r="G236" i="23"/>
  <c r="F236" i="23" s="1"/>
  <c r="E133" i="23"/>
  <c r="G237" i="23"/>
  <c r="F237" i="23" s="1"/>
  <c r="D134" i="23"/>
  <c r="C134" i="23" s="1"/>
  <c r="F176" i="23"/>
  <c r="G176" i="23" s="1"/>
  <c r="H176" i="23" s="1"/>
  <c r="M237" i="23" s="1"/>
  <c r="E134" i="23"/>
  <c r="H101" i="23"/>
  <c r="H110" i="23"/>
  <c r="P110" i="23" s="1"/>
  <c r="Q110" i="23" s="1"/>
  <c r="M110" i="23"/>
  <c r="E135" i="23"/>
  <c r="G238" i="23"/>
  <c r="F238" i="23" s="1"/>
  <c r="D135" i="23"/>
  <c r="C135" i="23" s="1"/>
  <c r="F177" i="23"/>
  <c r="G177" i="23" s="1"/>
  <c r="H177" i="23" s="1"/>
  <c r="M238" i="23" s="1"/>
  <c r="H102" i="23"/>
  <c r="P102" i="23" s="1"/>
  <c r="Q102" i="23" s="1"/>
  <c r="M102" i="23"/>
  <c r="E131" i="23"/>
  <c r="G234" i="23"/>
  <c r="F234" i="23" s="1"/>
  <c r="F173" i="23"/>
  <c r="G173" i="23" s="1"/>
  <c r="H173" i="23" s="1"/>
  <c r="M234" i="23" s="1"/>
  <c r="D131" i="23"/>
  <c r="C131" i="23" s="1"/>
  <c r="G241" i="23"/>
  <c r="F241" i="23" s="1"/>
  <c r="D138" i="23"/>
  <c r="C138" i="23" s="1"/>
  <c r="F180" i="23"/>
  <c r="G180" i="23" s="1"/>
  <c r="H180" i="23" s="1"/>
  <c r="M241" i="23" s="1"/>
  <c r="E138" i="23"/>
  <c r="G240" i="23"/>
  <c r="F240" i="23" s="1"/>
  <c r="E137" i="23"/>
  <c r="D137" i="23"/>
  <c r="C137" i="23" s="1"/>
  <c r="F179" i="23"/>
  <c r="G179" i="23" s="1"/>
  <c r="H179" i="23" s="1"/>
  <c r="M240" i="23" s="1"/>
  <c r="G235" i="23"/>
  <c r="F235" i="23" s="1"/>
  <c r="F174" i="23"/>
  <c r="G174" i="23" s="1"/>
  <c r="H174" i="23" s="1"/>
  <c r="M235" i="23" s="1"/>
  <c r="E132" i="23"/>
  <c r="D132" i="23"/>
  <c r="C132" i="23" s="1"/>
  <c r="H108" i="23"/>
  <c r="M108" i="23"/>
  <c r="D232" i="23"/>
  <c r="R129" i="23"/>
  <c r="M104" i="23"/>
  <c r="H104" i="23"/>
  <c r="M105" i="23"/>
  <c r="H105" i="23"/>
  <c r="F178" i="23"/>
  <c r="G178" i="23" s="1"/>
  <c r="H178" i="23" s="1"/>
  <c r="M239" i="23" s="1"/>
  <c r="E136" i="23"/>
  <c r="D136" i="23"/>
  <c r="C136" i="23" s="1"/>
  <c r="G239" i="23"/>
  <c r="F239" i="23" s="1"/>
  <c r="D232" i="17"/>
  <c r="D240" i="17"/>
  <c r="C135" i="17"/>
  <c r="C238" i="17" s="1"/>
  <c r="R135" i="17"/>
  <c r="C232" i="17"/>
  <c r="C133" i="17"/>
  <c r="C236" i="17" s="1"/>
  <c r="C137" i="17"/>
  <c r="C240" i="17" s="1"/>
  <c r="D233" i="17"/>
  <c r="D237" i="17"/>
  <c r="D241" i="17"/>
  <c r="C130" i="17"/>
  <c r="C233" i="17" s="1"/>
  <c r="C134" i="17"/>
  <c r="C237" i="17" s="1"/>
  <c r="C138" i="17"/>
  <c r="C241" i="17" s="1"/>
  <c r="K101" i="23" l="1"/>
  <c r="P101" i="23"/>
  <c r="Q101" i="23" s="1"/>
  <c r="C232" i="24"/>
  <c r="P149" i="24"/>
  <c r="C241" i="24"/>
  <c r="P158" i="24"/>
  <c r="C238" i="24"/>
  <c r="P155" i="24"/>
  <c r="C234" i="24"/>
  <c r="P151" i="24"/>
  <c r="C235" i="24"/>
  <c r="P152" i="24"/>
  <c r="C239" i="24"/>
  <c r="P156" i="24"/>
  <c r="P150" i="24"/>
  <c r="C233" i="24"/>
  <c r="P157" i="24"/>
  <c r="C240" i="24"/>
  <c r="K109" i="23"/>
  <c r="P109" i="23"/>
  <c r="Q109" i="23" s="1"/>
  <c r="K108" i="23"/>
  <c r="P108" i="23"/>
  <c r="Q108" i="23" s="1"/>
  <c r="K107" i="23"/>
  <c r="P107" i="23"/>
  <c r="Q107" i="23" s="1"/>
  <c r="K106" i="23"/>
  <c r="P106" i="23"/>
  <c r="Q106" i="23" s="1"/>
  <c r="K105" i="23"/>
  <c r="P105" i="23"/>
  <c r="Q105" i="23" s="1"/>
  <c r="K104" i="23"/>
  <c r="P104" i="23"/>
  <c r="Q104" i="23" s="1"/>
  <c r="K103" i="23"/>
  <c r="K102" i="23"/>
  <c r="K110" i="23"/>
  <c r="D239" i="23"/>
  <c r="R136" i="23"/>
  <c r="P175" i="23"/>
  <c r="Q175" i="23" s="1"/>
  <c r="R175" i="23" s="1"/>
  <c r="S175" i="23" s="1"/>
  <c r="N105" i="23"/>
  <c r="O105" i="23" s="1"/>
  <c r="P180" i="23"/>
  <c r="Q180" i="23" s="1"/>
  <c r="R180" i="23" s="1"/>
  <c r="S180" i="23" s="1"/>
  <c r="N110" i="23"/>
  <c r="O110" i="23" s="1"/>
  <c r="D236" i="23"/>
  <c r="R133" i="23"/>
  <c r="P177" i="23"/>
  <c r="Q177" i="23" s="1"/>
  <c r="R177" i="23" s="1"/>
  <c r="S177" i="23" s="1"/>
  <c r="N107" i="23"/>
  <c r="O107" i="23" s="1"/>
  <c r="E239" i="23"/>
  <c r="K239" i="23" s="1"/>
  <c r="H136" i="23"/>
  <c r="P149" i="23"/>
  <c r="C232" i="23"/>
  <c r="R132" i="23"/>
  <c r="D235" i="23"/>
  <c r="E241" i="23"/>
  <c r="K241" i="23" s="1"/>
  <c r="H138" i="23"/>
  <c r="E234" i="23"/>
  <c r="K234" i="23" s="1"/>
  <c r="H131" i="23"/>
  <c r="R135" i="23"/>
  <c r="D238" i="23"/>
  <c r="E237" i="23"/>
  <c r="K237" i="23" s="1"/>
  <c r="H134" i="23"/>
  <c r="E236" i="23"/>
  <c r="K236" i="23" s="1"/>
  <c r="H133" i="23"/>
  <c r="E233" i="23"/>
  <c r="K233" i="23" s="1"/>
  <c r="H130" i="23"/>
  <c r="P173" i="23"/>
  <c r="Q173" i="23" s="1"/>
  <c r="R173" i="23" s="1"/>
  <c r="S173" i="23" s="1"/>
  <c r="N103" i="23"/>
  <c r="O103" i="23" s="1"/>
  <c r="P176" i="23"/>
  <c r="Q176" i="23" s="1"/>
  <c r="R176" i="23" s="1"/>
  <c r="S176" i="23" s="1"/>
  <c r="N106" i="23"/>
  <c r="O106" i="23" s="1"/>
  <c r="P174" i="23"/>
  <c r="Q174" i="23" s="1"/>
  <c r="R174" i="23" s="1"/>
  <c r="S174" i="23" s="1"/>
  <c r="N104" i="23"/>
  <c r="O104" i="23" s="1"/>
  <c r="E235" i="23"/>
  <c r="K235" i="23" s="1"/>
  <c r="H132" i="23"/>
  <c r="D240" i="23"/>
  <c r="R137" i="23"/>
  <c r="R131" i="23"/>
  <c r="D234" i="23"/>
  <c r="P172" i="23"/>
  <c r="Q172" i="23" s="1"/>
  <c r="R172" i="23" s="1"/>
  <c r="S172" i="23" s="1"/>
  <c r="N102" i="23"/>
  <c r="O102" i="23" s="1"/>
  <c r="P179" i="23"/>
  <c r="Q179" i="23" s="1"/>
  <c r="R179" i="23" s="1"/>
  <c r="S179" i="23" s="1"/>
  <c r="N109" i="23"/>
  <c r="O109" i="23" s="1"/>
  <c r="P178" i="23"/>
  <c r="Q178" i="23" s="1"/>
  <c r="R178" i="23" s="1"/>
  <c r="S178" i="23" s="1"/>
  <c r="N108" i="23"/>
  <c r="O108" i="23" s="1"/>
  <c r="E240" i="23"/>
  <c r="K240" i="23" s="1"/>
  <c r="H137" i="23"/>
  <c r="D241" i="23"/>
  <c r="R138" i="23"/>
  <c r="E238" i="23"/>
  <c r="K238" i="23" s="1"/>
  <c r="H135" i="23"/>
  <c r="P171" i="23"/>
  <c r="Q171" i="23" s="1"/>
  <c r="R171" i="23" s="1"/>
  <c r="S171" i="23" s="1"/>
  <c r="N101" i="23"/>
  <c r="O101" i="23" s="1"/>
  <c r="D237" i="23"/>
  <c r="R134" i="23"/>
  <c r="D233" i="23"/>
  <c r="R130" i="23"/>
  <c r="C233" i="23" l="1"/>
  <c r="P150" i="23"/>
  <c r="C240" i="23"/>
  <c r="P157" i="23"/>
  <c r="C238" i="23"/>
  <c r="P155" i="23"/>
  <c r="P156" i="23"/>
  <c r="C239" i="23"/>
  <c r="C237" i="23"/>
  <c r="P154" i="23"/>
  <c r="P152" i="23"/>
  <c r="C235" i="23"/>
  <c r="C241" i="23"/>
  <c r="P158" i="23"/>
  <c r="C234" i="23"/>
  <c r="P151" i="23"/>
  <c r="C236" i="23"/>
  <c r="P153" i="23"/>
  <c r="M201" i="17"/>
  <c r="F201" i="17"/>
  <c r="G201" i="17" s="1"/>
  <c r="H201" i="17" s="1"/>
  <c r="N232" i="17" s="1"/>
  <c r="L202" i="17"/>
  <c r="L203" i="17"/>
  <c r="L204" i="17"/>
  <c r="L205" i="17"/>
  <c r="L206" i="17"/>
  <c r="L207" i="17"/>
  <c r="L208" i="17"/>
  <c r="L209" i="17"/>
  <c r="L210" i="17"/>
  <c r="L201" i="17"/>
  <c r="L171" i="17"/>
  <c r="F202" i="17"/>
  <c r="G202" i="17" s="1"/>
  <c r="H202" i="17" s="1"/>
  <c r="N233" i="17" s="1"/>
  <c r="F203" i="17"/>
  <c r="G203" i="17" s="1"/>
  <c r="H203" i="17" s="1"/>
  <c r="N234" i="17" s="1"/>
  <c r="F204" i="17"/>
  <c r="G204" i="17" s="1"/>
  <c r="H204" i="17" s="1"/>
  <c r="N235" i="17" s="1"/>
  <c r="F205" i="17"/>
  <c r="G205" i="17" s="1"/>
  <c r="H205" i="17" s="1"/>
  <c r="N236" i="17" s="1"/>
  <c r="F206" i="17"/>
  <c r="G206" i="17" s="1"/>
  <c r="H206" i="17" s="1"/>
  <c r="N237" i="17" s="1"/>
  <c r="F207" i="17"/>
  <c r="G207" i="17" s="1"/>
  <c r="H207" i="17" s="1"/>
  <c r="N238" i="17" s="1"/>
  <c r="F208" i="17"/>
  <c r="G208" i="17" s="1"/>
  <c r="H208" i="17" s="1"/>
  <c r="N239" i="17" s="1"/>
  <c r="F209" i="17"/>
  <c r="G209" i="17" s="1"/>
  <c r="H209" i="17" s="1"/>
  <c r="N240" i="17" s="1"/>
  <c r="F210" i="17"/>
  <c r="G210" i="17" s="1"/>
  <c r="H210" i="17" s="1"/>
  <c r="N241" i="17" s="1"/>
  <c r="F172" i="17"/>
  <c r="F173" i="17"/>
  <c r="F174" i="17"/>
  <c r="F175" i="17"/>
  <c r="F176" i="17"/>
  <c r="F177" i="17"/>
  <c r="F178" i="17"/>
  <c r="F179" i="17"/>
  <c r="F180" i="17"/>
  <c r="F171" i="17"/>
  <c r="G171" i="17" s="1"/>
  <c r="H171" i="17" s="1"/>
  <c r="M232" i="17" s="1"/>
  <c r="P150" i="17"/>
  <c r="P151" i="17"/>
  <c r="P152" i="17"/>
  <c r="P153" i="17"/>
  <c r="P154" i="17"/>
  <c r="P155" i="17"/>
  <c r="P156" i="17"/>
  <c r="P157" i="17"/>
  <c r="P158" i="17"/>
  <c r="E108" i="17"/>
  <c r="E101" i="17"/>
  <c r="H101" i="17" s="1"/>
  <c r="E31" i="17"/>
  <c r="J102" i="17" s="1"/>
  <c r="E32" i="17"/>
  <c r="J103" i="17" s="1"/>
  <c r="E33" i="17"/>
  <c r="J104" i="17" s="1"/>
  <c r="E34" i="17"/>
  <c r="J105" i="17" s="1"/>
  <c r="E35" i="17"/>
  <c r="J106" i="17" s="1"/>
  <c r="E36" i="17"/>
  <c r="J107" i="17" s="1"/>
  <c r="E37" i="17"/>
  <c r="J108" i="17" s="1"/>
  <c r="E38" i="17"/>
  <c r="J109" i="17" s="1"/>
  <c r="E39" i="17"/>
  <c r="J110" i="17" s="1"/>
  <c r="L172" i="17"/>
  <c r="L173" i="17"/>
  <c r="L174" i="17"/>
  <c r="L175" i="17"/>
  <c r="L176" i="17"/>
  <c r="L177" i="17"/>
  <c r="L178" i="17"/>
  <c r="L179" i="17"/>
  <c r="L180" i="17"/>
  <c r="M171" i="17"/>
  <c r="N171" i="17" s="1"/>
  <c r="N202" i="17" l="1"/>
  <c r="O202" i="17" s="1"/>
  <c r="N208" i="17"/>
  <c r="O208" i="17" s="1"/>
  <c r="N204" i="17"/>
  <c r="O204" i="17" s="1"/>
  <c r="N209" i="17"/>
  <c r="O209" i="17" s="1"/>
  <c r="N205" i="17"/>
  <c r="O205" i="17" s="1"/>
  <c r="N201" i="17"/>
  <c r="O201" i="17" s="1"/>
  <c r="N207" i="17"/>
  <c r="O207" i="17" s="1"/>
  <c r="N203" i="17"/>
  <c r="O203" i="17" s="1"/>
  <c r="N210" i="17"/>
  <c r="O210" i="17" s="1"/>
  <c r="N206" i="17"/>
  <c r="O206" i="17" s="1"/>
  <c r="O171" i="17"/>
  <c r="P149" i="17"/>
  <c r="M101" i="17"/>
  <c r="N101" i="17" s="1"/>
  <c r="O101" i="17" s="1"/>
  <c r="E102" i="17"/>
  <c r="M102" i="17" s="1"/>
  <c r="E103" i="17"/>
  <c r="M103" i="17" s="1"/>
  <c r="E104" i="17"/>
  <c r="M104" i="17" s="1"/>
  <c r="E105" i="17"/>
  <c r="M105" i="17" s="1"/>
  <c r="E106" i="17"/>
  <c r="M106" i="17" s="1"/>
  <c r="E107" i="17"/>
  <c r="M107" i="17" s="1"/>
  <c r="E109" i="17"/>
  <c r="E110" i="17"/>
  <c r="H104" i="17" l="1"/>
  <c r="P104" i="17" s="1"/>
  <c r="Q104" i="17" s="1"/>
  <c r="K104" i="17" l="1"/>
  <c r="H103" i="17"/>
  <c r="H102" i="17"/>
  <c r="H105" i="17"/>
  <c r="H110" i="17"/>
  <c r="M110" i="17"/>
  <c r="H109" i="17"/>
  <c r="M109" i="17"/>
  <c r="H107" i="17"/>
  <c r="K109" i="17" l="1"/>
  <c r="P109" i="17"/>
  <c r="Q109" i="17" s="1"/>
  <c r="K102" i="17"/>
  <c r="P102" i="17"/>
  <c r="Q102" i="17" s="1"/>
  <c r="K103" i="17"/>
  <c r="P103" i="17"/>
  <c r="Q103" i="17" s="1"/>
  <c r="K107" i="17"/>
  <c r="P107" i="17"/>
  <c r="Q107" i="17" s="1"/>
  <c r="K110" i="17"/>
  <c r="P110" i="17"/>
  <c r="Q110" i="17" s="1"/>
  <c r="K105" i="17"/>
  <c r="P105" i="17"/>
  <c r="Q105" i="17" s="1"/>
  <c r="N102" i="17"/>
  <c r="O102" i="17" s="1"/>
  <c r="N104" i="17"/>
  <c r="O104" i="17" s="1"/>
  <c r="N109" i="17"/>
  <c r="O109" i="17" s="1"/>
  <c r="N105" i="17"/>
  <c r="O105" i="17" s="1"/>
  <c r="N110" i="17"/>
  <c r="O110" i="17" s="1"/>
  <c r="H108" i="17"/>
  <c r="M108" i="17"/>
  <c r="H106" i="17"/>
  <c r="K108" i="17" l="1"/>
  <c r="P108" i="17"/>
  <c r="Q108" i="17" s="1"/>
  <c r="K106" i="17"/>
  <c r="P106" i="17"/>
  <c r="Q106" i="17" s="1"/>
  <c r="N107" i="17"/>
  <c r="O107" i="17" s="1"/>
  <c r="N106" i="17"/>
  <c r="O106" i="17" s="1"/>
  <c r="N103" i="17"/>
  <c r="O103" i="17" s="1"/>
  <c r="N108" i="17"/>
  <c r="O108" i="17" s="1"/>
  <c r="E30" i="17"/>
  <c r="H149" i="17"/>
  <c r="I152" i="17" s="1"/>
  <c r="J101" i="17" l="1"/>
  <c r="G174" i="17"/>
  <c r="H174" i="17" s="1"/>
  <c r="M152" i="17"/>
  <c r="I155" i="17"/>
  <c r="I151" i="17"/>
  <c r="I157" i="17"/>
  <c r="I153" i="17"/>
  <c r="I156" i="17"/>
  <c r="M156" i="17" s="1"/>
  <c r="I150" i="17"/>
  <c r="I158" i="17"/>
  <c r="I154" i="17"/>
  <c r="K101" i="17" l="1"/>
  <c r="P101" i="17"/>
  <c r="Q101" i="17" s="1"/>
  <c r="N174" i="17"/>
  <c r="O174" i="17" s="1"/>
  <c r="Q174" i="17" s="1"/>
  <c r="R174" i="17" s="1"/>
  <c r="M235" i="17"/>
  <c r="G180" i="17"/>
  <c r="H180" i="17" s="1"/>
  <c r="M158" i="17"/>
  <c r="G175" i="17"/>
  <c r="H175" i="17" s="1"/>
  <c r="M153" i="17"/>
  <c r="G172" i="17"/>
  <c r="H172" i="17" s="1"/>
  <c r="M150" i="17"/>
  <c r="G179" i="17"/>
  <c r="H179" i="17" s="1"/>
  <c r="M157" i="17"/>
  <c r="G178" i="17"/>
  <c r="H178" i="17" s="1"/>
  <c r="G173" i="17"/>
  <c r="H173" i="17" s="1"/>
  <c r="M151" i="17"/>
  <c r="G176" i="17"/>
  <c r="H176" i="17" s="1"/>
  <c r="M154" i="17"/>
  <c r="G177" i="17"/>
  <c r="H177" i="17" s="1"/>
  <c r="M155" i="17"/>
  <c r="N177" i="17" l="1"/>
  <c r="O177" i="17" s="1"/>
  <c r="Q177" i="17" s="1"/>
  <c r="R177" i="17" s="1"/>
  <c r="M238" i="17"/>
  <c r="N173" i="17"/>
  <c r="O173" i="17" s="1"/>
  <c r="M234" i="17"/>
  <c r="N178" i="17"/>
  <c r="O178" i="17" s="1"/>
  <c r="Q178" i="17" s="1"/>
  <c r="R178" i="17" s="1"/>
  <c r="M239" i="17"/>
  <c r="N172" i="17"/>
  <c r="O172" i="17" s="1"/>
  <c r="Q172" i="17" s="1"/>
  <c r="R172" i="17" s="1"/>
  <c r="M233" i="17"/>
  <c r="N180" i="17"/>
  <c r="O180" i="17" s="1"/>
  <c r="Q180" i="17" s="1"/>
  <c r="R180" i="17" s="1"/>
  <c r="M241" i="17"/>
  <c r="N176" i="17"/>
  <c r="O176" i="17" s="1"/>
  <c r="Q176" i="17" s="1"/>
  <c r="R176" i="17" s="1"/>
  <c r="M237" i="17"/>
  <c r="N179" i="17"/>
  <c r="O179" i="17" s="1"/>
  <c r="Q179" i="17" s="1"/>
  <c r="R179" i="17" s="1"/>
  <c r="M240" i="17"/>
  <c r="N175" i="17"/>
  <c r="O175" i="17" s="1"/>
  <c r="Q175" i="17" s="1"/>
  <c r="R175" i="17" s="1"/>
  <c r="M236" i="17"/>
  <c r="S174" i="17"/>
  <c r="S176" i="17" l="1"/>
  <c r="S178" i="17"/>
  <c r="S177" i="17"/>
  <c r="S180" i="17"/>
  <c r="S172" i="17"/>
  <c r="S175" i="17"/>
  <c r="S179" i="17"/>
  <c r="Q173" i="17"/>
  <c r="Q171" i="17" l="1"/>
  <c r="R171" i="17" s="1"/>
  <c r="R173" i="17"/>
  <c r="S173" i="17" l="1"/>
  <c r="S171" i="17"/>
  <c r="I149" i="17" l="1"/>
  <c r="M149" i="17" l="1"/>
  <c r="D26" i="36" l="1"/>
  <c r="D28" i="36"/>
  <c r="D27" i="36"/>
  <c r="D25" i="36"/>
  <c r="E25" i="36" l="1"/>
  <c r="H58" i="36"/>
  <c r="E28" i="36"/>
  <c r="H61" i="36"/>
  <c r="S25" i="36"/>
  <c r="T25" i="36" s="1"/>
  <c r="E27" i="36"/>
  <c r="H60" i="36"/>
  <c r="S28" i="36"/>
  <c r="T28" i="36" s="1"/>
  <c r="H26" i="36"/>
  <c r="J26" i="36" s="1"/>
  <c r="H59" i="36"/>
  <c r="F25" i="36"/>
  <c r="F28" i="36"/>
  <c r="H27" i="36"/>
  <c r="E26" i="36"/>
  <c r="F27" i="36"/>
  <c r="S26" i="36"/>
  <c r="T26" i="36" s="1"/>
  <c r="S27" i="36"/>
  <c r="T27" i="36" s="1"/>
  <c r="F26" i="36"/>
  <c r="H25" i="36"/>
  <c r="H28" i="36"/>
  <c r="I59" i="36" l="1"/>
  <c r="J59" i="36"/>
  <c r="J60" i="36"/>
  <c r="I60" i="36"/>
  <c r="I26" i="36"/>
  <c r="J61" i="36"/>
  <c r="I61" i="36"/>
  <c r="J58" i="36"/>
  <c r="I58" i="36"/>
  <c r="J27" i="36"/>
  <c r="I27" i="36"/>
  <c r="I28" i="36"/>
  <c r="J28" i="36"/>
  <c r="J25" i="36"/>
  <c r="I25" i="3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<sst xmlns="http://schemas.openxmlformats.org/spreadsheetml/2006/main" count="10487" uniqueCount="717">
  <si>
    <t xml:space="preserve"> spr rate</t>
  </si>
  <si>
    <t xml:space="preserve"> mWheel</t>
  </si>
  <si>
    <t xml:space="preserve"> ips</t>
  </si>
  <si>
    <t xml:space="preserve"> lev ratio at 100tr</t>
  </si>
  <si>
    <t>Find damping coefficient needed to get target zeta value</t>
  </si>
  <si>
    <t>Inputs</t>
  </si>
  <si>
    <t>LR.foale</t>
  </si>
  <si>
    <t>K.spring</t>
  </si>
  <si>
    <t>M.wheel</t>
  </si>
  <si>
    <t>[-]</t>
  </si>
  <si>
    <t>[kg/mm]</t>
  </si>
  <si>
    <t>Calculate damping coeff for target zeta</t>
  </si>
  <si>
    <t>k.spring</t>
  </si>
  <si>
    <t>[lbf/ft]</t>
  </si>
  <si>
    <t>[lbf-s/in]</t>
  </si>
  <si>
    <t>[lbm]</t>
  </si>
  <si>
    <t>Target damping curve</t>
  </si>
  <si>
    <t>u.shaft</t>
  </si>
  <si>
    <t>[in/s]</t>
  </si>
  <si>
    <t>[lbf]</t>
  </si>
  <si>
    <t xml:space="preserve"> coeff</t>
  </si>
  <si>
    <t>ips</t>
  </si>
  <si>
    <t>linear</t>
  </si>
  <si>
    <t>Target czeta</t>
  </si>
  <si>
    <t xml:space="preserve"> This formula works it backwards to give comp  numbers</t>
  </si>
  <si>
    <t>c zeta</t>
  </si>
  <si>
    <t>SHOCK</t>
  </si>
  <si>
    <t>cDamp</t>
  </si>
  <si>
    <t>ca%</t>
  </si>
  <si>
    <t xml:space="preserve"> 15 flsprs</t>
  </si>
  <si>
    <t xml:space="preserve"> 16 flsprs</t>
  </si>
  <si>
    <t xml:space="preserve"> average</t>
  </si>
  <si>
    <t>c + ca</t>
  </si>
  <si>
    <t>c force</t>
  </si>
  <si>
    <t>actual</t>
  </si>
  <si>
    <t>ca force</t>
  </si>
  <si>
    <t>factor</t>
  </si>
  <si>
    <t>gas</t>
  </si>
  <si>
    <t>drag</t>
  </si>
  <si>
    <t xml:space="preserve"> c-zeta</t>
  </si>
  <si>
    <t>co wogas</t>
  </si>
  <si>
    <t>co wgas</t>
  </si>
  <si>
    <t xml:space="preserve">c force </t>
  </si>
  <si>
    <t>lbs</t>
  </si>
  <si>
    <t xml:space="preserve"> 1)</t>
  </si>
  <si>
    <t xml:space="preserve"> 2)</t>
  </si>
  <si>
    <t>calc</t>
  </si>
  <si>
    <t xml:space="preserve"> calc</t>
  </si>
  <si>
    <t xml:space="preserve"> 3)</t>
  </si>
  <si>
    <t xml:space="preserve"> Arrange it like vdb</t>
  </si>
  <si>
    <t xml:space="preserve"> +drag</t>
  </si>
  <si>
    <t>round</t>
  </si>
  <si>
    <t xml:space="preserve"> reverse</t>
  </si>
  <si>
    <t>[from above]</t>
  </si>
  <si>
    <t>[calc]</t>
  </si>
  <si>
    <t>lb diff</t>
  </si>
  <si>
    <t>final</t>
  </si>
  <si>
    <t xml:space="preserve"> 93_57_31</t>
  </si>
  <si>
    <t xml:space="preserve"> c-zeta from  (3075)  17 xcf 450 Mike Kirsch</t>
  </si>
  <si>
    <t xml:space="preserve"> ca force</t>
  </si>
  <si>
    <t xml:space="preserve"> fixed</t>
  </si>
  <si>
    <t>[coeff]</t>
  </si>
  <si>
    <t xml:space="preserve"> First we need to come up with three possible ca% curves.  We will base it on 15 flsprs without bleed shims and 16 flsprs with bld shim</t>
  </si>
  <si>
    <t>I just made up a couple desired ca% by looking at many tests and picked numbers so the graph looks even.</t>
  </si>
  <si>
    <t>Then I took the actual c force numbers from test 3075 and looked at the curve with excel graph</t>
  </si>
  <si>
    <t>The graph from 1-10ips had a funny hook.  I manully tweaked the numbers to make it look better.</t>
  </si>
  <si>
    <t>original</t>
  </si>
  <si>
    <t>We changed the two numbers in red</t>
  </si>
  <si>
    <t>Next I smoothed out the numbers with poly 3 trendline</t>
  </si>
  <si>
    <t>tweaked</t>
  </si>
  <si>
    <t>I chose to break it in two sections, 1-10ips and 10-50</t>
  </si>
  <si>
    <t>Decided the graph of final c force looked ok</t>
  </si>
  <si>
    <t>numbers</t>
  </si>
  <si>
    <t>Then I took the final c force numbers and calculated ca force and ca% based on our ca% target from above.</t>
  </si>
  <si>
    <t>[target]</t>
  </si>
  <si>
    <t xml:space="preserve"> 4)</t>
  </si>
  <si>
    <r>
      <t xml:space="preserve"> ---&gt;  We manually adjust </t>
    </r>
    <r>
      <rPr>
        <b/>
        <sz val="10"/>
        <color rgb="FF0070C0"/>
        <rFont val="Arial"/>
        <family val="2"/>
      </rPr>
      <t>ca force</t>
    </r>
    <r>
      <rPr>
        <b/>
        <sz val="10"/>
        <color theme="1"/>
        <rFont val="Arial"/>
        <family val="2"/>
      </rPr>
      <t xml:space="preserve"> to get calculated ca% to match ca% target</t>
    </r>
  </si>
  <si>
    <t>ca%-ca%</t>
  </si>
  <si>
    <t>This also creates a 'reverse factor' that can be multiplied by c force to get correct ca force</t>
  </si>
  <si>
    <t>factor x</t>
  </si>
  <si>
    <t xml:space="preserve"> 5)</t>
  </si>
  <si>
    <t xml:space="preserve"> Then we  add in predefined, set values for gas and drag to come up with co wgas and co wogas</t>
  </si>
  <si>
    <t xml:space="preserve"> 6)</t>
  </si>
  <si>
    <t>Next we need to reverse engineer the c-zeta value by putting in our final co wogas and tweaking c-zeta so the numbers match</t>
  </si>
  <si>
    <t>new</t>
  </si>
  <si>
    <t xml:space="preserve"> 7)</t>
  </si>
  <si>
    <t>Now we want to create a 'c force' c-zeta to use on Sh Dyno . press a tab</t>
  </si>
  <si>
    <t xml:space="preserve"> We start bu entering the final c force numbers and it will automatically calculate 'c force c-zeta'</t>
  </si>
  <si>
    <t>We want to check and be sure we can reverse calculate c force based on lev ratio, spring rate and mWheel</t>
  </si>
  <si>
    <t>First we have to copy as values here</t>
  </si>
  <si>
    <t xml:space="preserve"> factor</t>
  </si>
  <si>
    <t>Enter the spring rate for the test and it determines c-zeta</t>
  </si>
  <si>
    <t>If you change spring, c-zeta changes so pick</t>
  </si>
  <si>
    <t>the spring used in the test and stick with it</t>
  </si>
  <si>
    <t xml:space="preserve"> double check reverse factor</t>
  </si>
  <si>
    <t xml:space="preserve"> 8)</t>
  </si>
  <si>
    <t xml:space="preserve"> c + ca force</t>
  </si>
  <si>
    <t xml:space="preserve">    ca% matches target</t>
  </si>
  <si>
    <t xml:space="preserve"> 9)</t>
  </si>
  <si>
    <t>Now we can put everything together to print and enter in zeta_targetnu via sqlYOG</t>
  </si>
  <si>
    <t>curve</t>
  </si>
  <si>
    <t>I wonder if we can create 'ca force' c-zeta the same as we did 'c force'.  Otherwise we will need to use the reverse factor.</t>
  </si>
  <si>
    <t xml:space="preserve">  --&gt; We will use trendline on c force with fixed gas and drag numbers</t>
  </si>
  <si>
    <t>removed</t>
  </si>
  <si>
    <t>adjusted</t>
  </si>
  <si>
    <t xml:space="preserve"> This is based on (3075)  17 XCF 350   Mike Kirsch,  tested with 12sxf450-psh</t>
  </si>
  <si>
    <t>12sxf450-psh</t>
  </si>
  <si>
    <t>16sxf250-psh</t>
  </si>
  <si>
    <t xml:space="preserve"> aver meas gas</t>
  </si>
  <si>
    <t xml:space="preserve"> diff</t>
  </si>
  <si>
    <t xml:space="preserve"> calc gas we remove</t>
  </si>
  <si>
    <t>with linear gas drag</t>
  </si>
  <si>
    <t>TRENDLINE</t>
  </si>
  <si>
    <t>Then I took the actual c force numbers from test 3130 and looked at the curve with excel graph</t>
  </si>
  <si>
    <t xml:space="preserve"> co wogas</t>
  </si>
  <si>
    <t xml:space="preserve"> P/M</t>
  </si>
  <si>
    <t xml:space="preserve"> QxG</t>
  </si>
  <si>
    <t xml:space="preserve"> Then copy as values</t>
  </si>
  <si>
    <t xml:space="preserve"> [calc]</t>
  </si>
  <si>
    <t>copy</t>
  </si>
  <si>
    <t>here</t>
  </si>
  <si>
    <t xml:space="preserve">  zeta_targetnu_sh_comp  table</t>
  </si>
  <si>
    <t>zeta_backwards.xlsx</t>
  </si>
  <si>
    <t>NUMBERS, WITH ONLY CADJ FORCES ADJUSTED TO MATCH CA% TARGET</t>
  </si>
  <si>
    <t>ACTUAL</t>
  </si>
  <si>
    <t>enter</t>
  </si>
  <si>
    <t>copy values</t>
  </si>
  <si>
    <t>Do not change these numbers.</t>
  </si>
  <si>
    <t xml:space="preserve"> N-E</t>
  </si>
  <si>
    <t xml:space="preserve"> Q-D</t>
  </si>
  <si>
    <t xml:space="preserve"> &lt;-- copy dn</t>
  </si>
  <si>
    <t xml:space="preserve"> all below</t>
  </si>
  <si>
    <t xml:space="preserve"> Changes here affect</t>
  </si>
  <si>
    <t>C-ZETA CURVE</t>
  </si>
  <si>
    <t xml:space="preserve">  --&gt; We will use actual  c force numbers with actual gas and drag numbers</t>
  </si>
  <si>
    <t xml:space="preserve"> Actual, we did not smooth numbers</t>
  </si>
  <si>
    <t xml:space="preserve"> J/H</t>
  </si>
  <si>
    <t>PxG</t>
  </si>
  <si>
    <t xml:space="preserve"> &lt;-- then copy</t>
  </si>
  <si>
    <t xml:space="preserve">      as values</t>
  </si>
  <si>
    <t xml:space="preserve"> &lt;-- then manually enter</t>
  </si>
  <si>
    <t xml:space="preserve">       numbers to column G</t>
  </si>
  <si>
    <t xml:space="preserve">       two or three times</t>
  </si>
  <si>
    <t xml:space="preserve">       may have to do</t>
  </si>
  <si>
    <t xml:space="preserve"> still basing ca% on theoretical</t>
  </si>
  <si>
    <t xml:space="preserve"> We had to change the formula in column C to - 73c</t>
  </si>
  <si>
    <t xml:space="preserve"> 73c</t>
  </si>
  <si>
    <t xml:space="preserve"> We added this to column L</t>
  </si>
  <si>
    <t xml:space="preserve"> c-zeta from  (3075)  17 XCF 450  Mike Kirsch</t>
  </si>
  <si>
    <t xml:space="preserve"> 110_61_31</t>
  </si>
  <si>
    <t xml:space="preserve"> ztn_id</t>
  </si>
  <si>
    <t>spr rate</t>
  </si>
  <si>
    <t>enter actal gas here</t>
  </si>
  <si>
    <t xml:space="preserve">       copy values here</t>
  </si>
  <si>
    <t xml:space="preserve"> - - - - - - - - - enter from vdb - - - - - - - - - </t>
  </si>
  <si>
    <t>gas force</t>
  </si>
  <si>
    <t>drag force</t>
  </si>
  <si>
    <t>[from vdb]</t>
  </si>
  <si>
    <t>[calc here]</t>
  </si>
  <si>
    <t>temp</t>
  </si>
  <si>
    <t>[manual adj]</t>
  </si>
  <si>
    <t>[manual enter]</t>
  </si>
  <si>
    <t>gas diff</t>
  </si>
  <si>
    <t>with linear gas, adj gas diff and linear drag</t>
  </si>
  <si>
    <t xml:space="preserve">    Adding back the adjusted gas difference will result in more accureate and comparable target numbers between tests (because there will always be a gas force difference). </t>
  </si>
  <si>
    <t xml:space="preserve"> 12sxf450-psh</t>
  </si>
  <si>
    <t xml:space="preserve"> This is based on (3075)  17 XCF 350   Mike Kirsch</t>
  </si>
  <si>
    <t>finally copy values over to Target czeta column</t>
  </si>
  <si>
    <t xml:space="preserve"> Should be able to divide P with M</t>
  </si>
  <si>
    <t xml:space="preserve"> Then multiply Q x G</t>
  </si>
  <si>
    <t xml:space="preserve"> tab</t>
  </si>
  <si>
    <t xml:space="preserve"> 3130</t>
  </si>
  <si>
    <t xml:space="preserve"> 3171</t>
  </si>
  <si>
    <t xml:space="preserve"> 3075</t>
  </si>
  <si>
    <t xml:space="preserve"> 4.6 kg</t>
  </si>
  <si>
    <t xml:space="preserve"> 4.2 kg</t>
  </si>
  <si>
    <t xml:space="preserve"> 5.0 kg</t>
  </si>
  <si>
    <t>Remember these tests should have decent r-zeta and r/c ratio</t>
  </si>
  <si>
    <t xml:space="preserve"> Next create 'ca force' c-zeta the same as we did 'c force'.  Otherwise we would need to use the reverse factor.</t>
  </si>
  <si>
    <t xml:space="preserve"> 17 XCF 450</t>
  </si>
  <si>
    <t xml:space="preserve"> Mike Kirsch</t>
  </si>
  <si>
    <t xml:space="preserve"> TRENDLINE</t>
  </si>
  <si>
    <t xml:space="preserve"> enter -&gt;</t>
  </si>
  <si>
    <t>Now we can put everything together to print and enter in zeta_targetnu_sh_comp table.</t>
  </si>
  <si>
    <t xml:space="preserve"> c-zeta numbers for co wogas, c forcd and ca force</t>
  </si>
  <si>
    <t xml:space="preserve">  Use these tabs to create c-zeta values from good tests.</t>
  </si>
  <si>
    <t xml:space="preserve">  We will use the exact spring rate from the test because a good test should have decent r-zeta and r/c ratio.</t>
  </si>
  <si>
    <t xml:space="preserve">    Then we will display the 'linear gas force' as calculated with the ressy_press files from Calvin.  This calculated pressure should equal dynamic gas force if nitro is set correct.</t>
  </si>
  <si>
    <t xml:space="preserve">          69c  for 16sxf250-psh</t>
  </si>
  <si>
    <t xml:space="preserve">          73c  for 12sxf450-psh</t>
  </si>
  <si>
    <t xml:space="preserve">    For co wogas to be accurate at 1-5 ips, we need to add back 'adjusted gas difference' based on which pressure shock we are using.</t>
  </si>
  <si>
    <t xml:space="preserve">          77 lbs  for 12sxf450-psh    (73+4=77)</t>
  </si>
  <si>
    <t xml:space="preserve">          73 lbs  for 16sxf250-psh    (69+4=73)</t>
  </si>
  <si>
    <t xml:space="preserve">    If actual dynamic gas force is higher than linear gas force, this indicates the nitro may have been set higher.  This would result in higher co wgas dyno numbers. </t>
  </si>
  <si>
    <t>display</t>
  </si>
  <si>
    <t xml:space="preserve"> ztn_id __________</t>
  </si>
  <si>
    <t xml:space="preserve">  We are removing calc gas (73c and 69c) and displaying linear gas force (77 lbs and 73 lbs) for 12sxf450-psh and 16sxf250-psh respectively.</t>
  </si>
  <si>
    <t xml:space="preserve"> This is 3075 trendline,  ztnshc_id =</t>
  </si>
  <si>
    <t xml:space="preserve"> 113_61_31</t>
  </si>
  <si>
    <t xml:space="preserve"> 16sxf250-psh</t>
  </si>
  <si>
    <t xml:space="preserve"> &lt;-- manually enter these</t>
  </si>
  <si>
    <t xml:space="preserve"> 15flsprs</t>
  </si>
  <si>
    <t xml:space="preserve"> c-zeta numbers for co wogas, c force and ca force</t>
  </si>
  <si>
    <t>Vers 1</t>
  </si>
  <si>
    <t>We build c-zeta curve starting with c force.</t>
  </si>
  <si>
    <t>use aver ca%</t>
  </si>
  <si>
    <t>used aver c force numbers, did not tweak</t>
  </si>
  <si>
    <t>c force + ca force + actual gas force + actual drag force = co wgas</t>
  </si>
  <si>
    <t xml:space="preserve"> [co wgas and co wogas will not match dyno numbers because ca force is calculated]</t>
  </si>
  <si>
    <t>calculate co wogas c-zeta values</t>
  </si>
  <si>
    <t>calculate c force c-zeta values</t>
  </si>
  <si>
    <t>calculate ca force c-zeta values</t>
  </si>
  <si>
    <t>put together and print</t>
  </si>
  <si>
    <t>use aver c force numbers, no trendline</t>
  </si>
  <si>
    <t>using aver ca% calculate ca force numbers</t>
  </si>
  <si>
    <t xml:space="preserve"> 93_58_30</t>
  </si>
  <si>
    <t>Vers 2</t>
  </si>
  <si>
    <t>use aver c force numbers, created trendline</t>
  </si>
  <si>
    <t>c force + ca force + linear gas force + linear drag force = co wgas</t>
  </si>
  <si>
    <t>co wgas - linear gas force (77) = co wogas</t>
  </si>
  <si>
    <t xml:space="preserve"> v3</t>
  </si>
  <si>
    <t>Vers 3</t>
  </si>
  <si>
    <t>aver</t>
  </si>
  <si>
    <t>used aver c force numbers, tweaked graph line</t>
  </si>
  <si>
    <t>co wgas - calc gas force (73c) = co wogas</t>
  </si>
  <si>
    <t>c force + ca force + calc gas force (73c)  + adj gas diff + linear drag force = co wgas</t>
  </si>
  <si>
    <t xml:space="preserve">CONCLUSION: </t>
  </si>
  <si>
    <t>CONCLUSION:  This method did not work, c/r ratio at 1ips = 1.09</t>
  </si>
  <si>
    <t>CONCLUSION:  This method not to bad and similar in ways to v4</t>
  </si>
  <si>
    <t xml:space="preserve"> Tab for v1 methodology.  This vers is similar to v4.</t>
  </si>
  <si>
    <t xml:space="preserve"> Tab for v3 methodology.  We have decided it does not make sense to add in linear drag force, we need to use actual drag.</t>
  </si>
  <si>
    <t xml:space="preserve"> DONE</t>
  </si>
  <si>
    <t xml:space="preserve"> v2</t>
  </si>
  <si>
    <t xml:space="preserve"> Tab for v2 methodology.  This vers does not work as r/c ratio at 1ips = 1.11</t>
  </si>
  <si>
    <t xml:space="preserve"> v1</t>
  </si>
  <si>
    <t xml:space="preserve"> v4</t>
  </si>
  <si>
    <t xml:space="preserve"> 16flsprs</t>
  </si>
  <si>
    <t xml:space="preserve"> vers</t>
  </si>
  <si>
    <t xml:space="preserve"> flsprs</t>
  </si>
  <si>
    <t>press sh</t>
  </si>
  <si>
    <t xml:space="preserve"> calc gas</t>
  </si>
  <si>
    <t>act / trend</t>
  </si>
  <si>
    <t xml:space="preserve">   We have decided it does not make sense to add in linear drag force, we need to use actual drag.</t>
  </si>
  <si>
    <t xml:space="preserve">   Use actual drag, but put linear drag up for comparison. </t>
  </si>
  <si>
    <t xml:space="preserve">   That will allow me to see how actual drag force differs from linear.</t>
  </si>
  <si>
    <t>ca% curve</t>
  </si>
  <si>
    <t>actual c force</t>
  </si>
  <si>
    <t>actual gas</t>
  </si>
  <si>
    <t>actual drag</t>
  </si>
  <si>
    <t>trendline</t>
  </si>
  <si>
    <t>linear gas</t>
  </si>
  <si>
    <t>linear drag</t>
  </si>
  <si>
    <t>trendline c force</t>
  </si>
  <si>
    <t>remove gas force</t>
  </si>
  <si>
    <t>adj gas diff</t>
  </si>
  <si>
    <t>calc gas (73c)</t>
  </si>
  <si>
    <t>na</t>
  </si>
  <si>
    <t>co wgas - calc gas (73c)</t>
  </si>
  <si>
    <t>rec_id</t>
  </si>
  <si>
    <t xml:space="preserve"> 3075s</t>
  </si>
  <si>
    <t>stiff</t>
  </si>
  <si>
    <t>soft</t>
  </si>
  <si>
    <t>calc ca%  aver</t>
  </si>
  <si>
    <t>calc ca%  stiff</t>
  </si>
  <si>
    <t>orig</t>
  </si>
  <si>
    <t>done</t>
  </si>
  <si>
    <t xml:space="preserve"> 69c</t>
  </si>
  <si>
    <t>calc gas (69c)</t>
  </si>
  <si>
    <t>co wgas - calc gas (69c)</t>
  </si>
  <si>
    <t>calc (69c, 73c)</t>
  </si>
  <si>
    <t xml:space="preserve"> v5</t>
  </si>
  <si>
    <t>add drag force</t>
  </si>
  <si>
    <t>co wgas - linear drag</t>
  </si>
  <si>
    <r>
      <t xml:space="preserve">no test </t>
    </r>
    <r>
      <rPr>
        <b/>
        <sz val="10"/>
        <color rgb="FFFF0000"/>
        <rFont val="Arial"/>
        <family val="2"/>
      </rPr>
      <t>*</t>
    </r>
  </si>
  <si>
    <r>
      <t xml:space="preserve">  </t>
    </r>
    <r>
      <rPr>
        <b/>
        <sz val="10"/>
        <color rgb="FFFF0000"/>
        <rFont val="Arial"/>
        <family val="2"/>
      </rPr>
      <t>*</t>
    </r>
    <r>
      <rPr>
        <sz val="10"/>
        <color theme="1"/>
        <rFont val="Arial"/>
        <family val="2"/>
      </rPr>
      <t xml:space="preserve"> Currently there is no actual v4 test.  It is the same as v3 except uses the 15flpsrs and stiff ca%.   Consider this a placeholder if we ever want to create a c-zeta curve with these paramaters.</t>
    </r>
  </si>
  <si>
    <t xml:space="preserve">  v1 thru v4 are older tests we created while learning the process.  These tests are obsolete because we no longer add linear drag force.  See v5 where we start adding actual drag force.</t>
  </si>
  <si>
    <t xml:space="preserve"> (see czeta_bkwd_3075s_actual_v1 for details on all versions)</t>
  </si>
  <si>
    <t xml:space="preserve"> v6</t>
  </si>
  <si>
    <t xml:space="preserve"> Tab for list of all c-zeta curve versions.</t>
  </si>
  <si>
    <t xml:space="preserve"> We won't use this curve, but are saving it to show the method used to calculate the c-zeta curve.</t>
  </si>
  <si>
    <t xml:space="preserve"> Redo 3075 trendline using v3.  Keep it visible for comparison purposes.</t>
  </si>
  <si>
    <t xml:space="preserve"> We deleted some tabs but you can find some on  zeta_backwards - Copy.xlsx</t>
  </si>
  <si>
    <t xml:space="preserve"> 3171s</t>
  </si>
  <si>
    <t xml:space="preserve"> is not used in any calculationa</t>
  </si>
  <si>
    <t xml:space="preserve"> this is just for comparison and</t>
  </si>
  <si>
    <t>diff target</t>
  </si>
  <si>
    <t>to actual</t>
  </si>
  <si>
    <t>stiffer</t>
  </si>
  <si>
    <t xml:space="preserve"> D-Q</t>
  </si>
  <si>
    <t>diff from</t>
  </si>
  <si>
    <t xml:space="preserve"> is calc co</t>
  </si>
  <si>
    <t>[lb diff]</t>
  </si>
  <si>
    <t xml:space="preserve">  See average of all drag forces at   vdb / excel / dt_allStacksShc_dragforce.xlsx.  We considered running drag forces based on these averages.  But decided against it.</t>
  </si>
  <si>
    <t>c force + ca force + calc gas force (73c)  + adj gas diff + aver 1-5ips drag force = co wgas</t>
  </si>
  <si>
    <t>Vers 5</t>
  </si>
  <si>
    <t xml:space="preserve">  We will use aver (1-5ips)/5 drag force.</t>
  </si>
  <si>
    <t xml:space="preserve"> 1-10ips</t>
  </si>
  <si>
    <t>10-50ips</t>
  </si>
  <si>
    <t>diff</t>
  </si>
  <si>
    <t>I - J</t>
  </si>
  <si>
    <t>Poly numbers are in code, do not</t>
  </si>
  <si>
    <t>use the Excel trendline graph.</t>
  </si>
  <si>
    <t xml:space="preserve">  3171s is most recent.</t>
  </si>
  <si>
    <t xml:space="preserve"> 3304s</t>
  </si>
  <si>
    <t>DONE</t>
  </si>
  <si>
    <t xml:space="preserve"> v5 and v6 are the same except for v5 uses 12sxf450-psh and v6 uses 16sxf250-psh</t>
  </si>
  <si>
    <t xml:space="preserve"> 9-10-18</t>
  </si>
  <si>
    <t xml:space="preserve">  ------&gt; Our new gas force method is to use gas force at 1ips because we are focusing on forces at 1ips to get low speed comp control.</t>
  </si>
  <si>
    <t xml:space="preserve"> 1-5ips</t>
  </si>
  <si>
    <t>We break it in two sections, 1-5ips and 10-50ips</t>
  </si>
  <si>
    <t>Next I smoothed out the numbers with poly 3 trendline.</t>
  </si>
  <si>
    <t xml:space="preserve">  Notice new range</t>
  </si>
  <si>
    <t xml:space="preserve">       numbers to column E</t>
  </si>
  <si>
    <t>[compare to]</t>
  </si>
  <si>
    <t xml:space="preserve">  ------&gt; These are old, tab for meghodology to see exactly what we did.</t>
  </si>
  <si>
    <t xml:space="preserve"> ztnshc_id =</t>
  </si>
  <si>
    <t>G129-G30</t>
  </si>
  <si>
    <t>3171s</t>
  </si>
  <si>
    <t>16 SXF 250</t>
  </si>
  <si>
    <t>Hunter Hargis</t>
  </si>
  <si>
    <t>3304s</t>
  </si>
  <si>
    <t>18 SXF 350</t>
  </si>
  <si>
    <t>Cody Harris</t>
  </si>
  <si>
    <t>v6</t>
  </si>
  <si>
    <t>3075s</t>
  </si>
  <si>
    <t>17 XCF 350</t>
  </si>
  <si>
    <t>Mike Kirsch</t>
  </si>
  <si>
    <t xml:space="preserve"> v7</t>
  </si>
  <si>
    <t xml:space="preserve"> v8</t>
  </si>
  <si>
    <t>none yet</t>
  </si>
  <si>
    <t xml:space="preserve"> 1ips drag force</t>
  </si>
  <si>
    <t>v7</t>
  </si>
  <si>
    <t xml:space="preserve"> Create c-zeta comp curve.</t>
  </si>
  <si>
    <t>15 flsprs</t>
  </si>
  <si>
    <t>16 flsprs</t>
  </si>
  <si>
    <t>leave --&gt;</t>
  </si>
  <si>
    <t xml:space="preserve"> ( v7:   c = 12sxf450-psh,  16 flsprs)</t>
  </si>
  <si>
    <t xml:space="preserve"> ( v6:   b = 16sxf250-psh,  15 flsprs)</t>
  </si>
  <si>
    <t xml:space="preserve"> ( v5:   a = 12sxf450-psh,  15 flsprs)</t>
  </si>
  <si>
    <t xml:space="preserve">C-ZETA CURVE NAME  </t>
  </si>
  <si>
    <t xml:space="preserve"> Values in cells B9:D13 have to be correct.</t>
  </si>
  <si>
    <t xml:space="preserve"> This will create  'c-zeta curve name'.</t>
  </si>
  <si>
    <t xml:space="preserve"> We are averaging 3171 3304.  </t>
  </si>
  <si>
    <t xml:space="preserve">   Both have 15 flsprs</t>
  </si>
  <si>
    <t xml:space="preserve">   3171 is 12sxf450-psh with 73c and 77 linear</t>
  </si>
  <si>
    <t xml:space="preserve">   3304 is 16sxf250-psh with 69c and 73 linear</t>
  </si>
  <si>
    <t xml:space="preserve">   ---&gt; We will just average the calc and linear gas as well.</t>
  </si>
  <si>
    <t>(3171-3304)/2</t>
  </si>
  <si>
    <t>Hunter and Cody</t>
  </si>
  <si>
    <t>calc aver</t>
  </si>
  <si>
    <t xml:space="preserve"> linear aver</t>
  </si>
  <si>
    <t xml:space="preserve"> tab for average actual gas and drag</t>
  </si>
  <si>
    <t>[aver]</t>
  </si>
  <si>
    <t xml:space="preserve"> aver spring</t>
  </si>
  <si>
    <t>v9</t>
  </si>
  <si>
    <t>aver 2 tests</t>
  </si>
  <si>
    <t xml:space="preserve"> v9</t>
  </si>
  <si>
    <t>both</t>
  </si>
  <si>
    <t xml:space="preserve"> 71c</t>
  </si>
  <si>
    <t>calc gas (71c)</t>
  </si>
  <si>
    <t>co wgas - calc gas (71c)</t>
  </si>
  <si>
    <t xml:space="preserve"> 2ips drag force</t>
  </si>
  <si>
    <t xml:space="preserve"> zeta_backwards_shc.xlsx</t>
  </si>
  <si>
    <t>We got the idea to average 3171 and 3304 based on averaging 7 shock tests in    zeta_shc_aver_10tests_1-2-5-50ips.xlsx</t>
  </si>
  <si>
    <t xml:space="preserve"> ( v8:   d = 16sxf250-psh,  16 flsprs)</t>
  </si>
  <si>
    <t xml:space="preserve"> ( v9:   e = 12sxf450-psh, 16sxf250-psh,  15 flsprs)</t>
  </si>
  <si>
    <t>As of 9-12-18. We will use this c-zeta curve as starting point for next few builds.</t>
  </si>
  <si>
    <t xml:space="preserve"> 138_77_38_e</t>
  </si>
  <si>
    <t xml:space="preserve"> tab for 3171 and 3304 force numbers</t>
  </si>
  <si>
    <t xml:space="preserve"> 3304</t>
  </si>
  <si>
    <t xml:space="preserve"> SEE V7</t>
  </si>
  <si>
    <t xml:space="preserve"> 10-21-18, redid with new lev ratio 2.52</t>
  </si>
  <si>
    <t xml:space="preserve"> We start by entering the final c force numbers and it will automatically calculate 'c force c-zeta'</t>
  </si>
  <si>
    <t>First we have to copy as values here, then everything could just calculate out</t>
  </si>
  <si>
    <t xml:space="preserve"> We will use drag force at 1 ips so this number matches</t>
  </si>
  <si>
    <t xml:space="preserve"> Tab for v5 methodology.    For drag force we will use force at 1 ips.  Since this is the smallest number we want it to match so % diff aren't extreme.</t>
  </si>
  <si>
    <t xml:space="preserve">   these should match</t>
  </si>
  <si>
    <t xml:space="preserve">      these should match</t>
  </si>
  <si>
    <t>these should match</t>
  </si>
  <si>
    <t>calc gas force = 69c, linear = 73</t>
  </si>
  <si>
    <t xml:space="preserve"> This is average 3171 and 3304.  Call it 'v9' and 'e'.</t>
  </si>
  <si>
    <t xml:space="preserve"> see column B</t>
  </si>
  <si>
    <t xml:space="preserve">c+ca force </t>
  </si>
  <si>
    <t xml:space="preserve"> Next create 'ca force' c-zeta the same as we did 'c force'   (otherwise we would need to use the reverse factor, which we don't want to, nor do we do).</t>
  </si>
  <si>
    <t xml:space="preserve"> 4-8-19</t>
  </si>
  <si>
    <t xml:space="preserve"> We are going to change Hunters curve and adapt gas force to = 16sxf250-psh</t>
  </si>
  <si>
    <r>
      <t xml:space="preserve">  We are removing calc gas (73c and 69c) and displaying linear gas force (77 lbs and 73 lbs) for 12sxf450-psh and 16sxf250-psh respectively. </t>
    </r>
    <r>
      <rPr>
        <b/>
        <sz val="10"/>
        <color rgb="FF7030A0"/>
        <rFont val="Arial"/>
        <family val="2"/>
      </rPr>
      <t xml:space="preserve"> (See note above)</t>
    </r>
  </si>
  <si>
    <t xml:space="preserve">  &lt;-- 4-8-19   this is what we tested with, but we are going to adapt curve as if it was tested with 16sxf250-psh</t>
  </si>
  <si>
    <t xml:space="preserve">  &lt;-- 4-8-19   we are changing gas force but keep this id and overwrite with new c-zeta numbers</t>
  </si>
  <si>
    <t xml:space="preserve">  &lt;-- 4-8-19   we are changing gas force, this was _a but we are changing it to _b which is for 16sxf250-psh, 15flsprs</t>
  </si>
  <si>
    <t>Then I took the actual c force numbers from test 3171 and looked at the curve with excel graph</t>
  </si>
  <si>
    <t>This graph from 1-10ips was ok and we didn't have to manully tweaked the numbers to make it look better.</t>
  </si>
  <si>
    <t>[from I78]</t>
  </si>
  <si>
    <t xml:space="preserve"> this is for comparison ?? and</t>
  </si>
  <si>
    <t xml:space="preserve"> is used in G101</t>
  </si>
  <si>
    <t>ca.%</t>
  </si>
  <si>
    <t>[from D101]</t>
  </si>
  <si>
    <t>[from E101]</t>
  </si>
  <si>
    <t xml:space="preserve"> copy</t>
  </si>
  <si>
    <t xml:space="preserve"> 4-8-19, we are going to make copy in A29 and keep co wgas the same, then subtract 4 lbs from O129 actual gas force </t>
  </si>
  <si>
    <t>with 12sxf450-psh</t>
  </si>
  <si>
    <t>At O129 we are subtracting 4 lbs</t>
  </si>
  <si>
    <t xml:space="preserve">so it would be equal to being tested with </t>
  </si>
  <si>
    <t xml:space="preserve"> with 16sxf250 psh.</t>
  </si>
  <si>
    <t>This is actual gas force</t>
  </si>
  <si>
    <t xml:space="preserve"> 4-8-19,  to cell D129 we will add ---&gt;</t>
  </si>
  <si>
    <t xml:space="preserve"> lbs</t>
  </si>
  <si>
    <t xml:space="preserve"> 4-8-19, we are going to make copy in A29 for comparison to make sure that but co wgas drops 4 lbs, but co wogas should remain the same.</t>
  </si>
  <si>
    <t xml:space="preserve"> good, it dropped 4 lbs</t>
  </si>
  <si>
    <t xml:space="preserve"> --&gt;  4-8-19  This c-zeta IS NOT used in vdb to calculate co wogas, we now use c-zeta for c force, c-zeta for ca force, add together + drag + cf (cf accounts for subtract 69c but dynamic 73) [we are calculating for grins]</t>
  </si>
  <si>
    <t xml:space="preserve"> 4-8-19, this c-zeta number DID NOT change when we changed gas force</t>
  </si>
  <si>
    <t xml:space="preserve"> Change LR, spr, M.wheel here</t>
  </si>
  <si>
    <t xml:space="preserve"> to effect all below</t>
  </si>
  <si>
    <t xml:space="preserve"> 4-9-18, changes to gas force above DID NOT change c force c-zeta as the c force remains the same</t>
  </si>
  <si>
    <t xml:space="preserve"> 4-9-18, changes to gas force above DID NOT change ca force c-zeta as the ca force remains the same</t>
  </si>
  <si>
    <t xml:space="preserve"> 4-9-18, we changed gas force from 73c to 69c so these numbers will match with press tests using the 16sxf250-psh.</t>
  </si>
  <si>
    <t xml:space="preserve"> all c-zeta numbers are the same, only difference is co wgas and linear gas</t>
  </si>
  <si>
    <t xml:space="preserve"> 4-9-18 we manually changed to   calc gas force = 69c, linear = 73c</t>
  </si>
  <si>
    <t xml:space="preserve">        4-8-19, HOWEVER this c-zeta IS USED when we create graphs in     zeta_shcrz_adj_targ_chart.xlsm</t>
  </si>
  <si>
    <t xml:space="preserve"> 4-29-19 we are changing co wogas target and will</t>
  </si>
  <si>
    <t xml:space="preserve"> use actual drag force at 1ips in vdb</t>
  </si>
  <si>
    <t xml:space="preserve">  4-29-19, we rounded to 4 places and put in vdb</t>
  </si>
  <si>
    <t xml:space="preserve">  4-29-19,  change adj gas diff to gas force fudge number = 4</t>
  </si>
  <si>
    <t xml:space="preserve">  4-29-19,  change adj gas diff to gas force fudge number = 4 and recalculated and entered in vdb</t>
  </si>
  <si>
    <t xml:space="preserve">  4-29-19, changed and put in vdb, see lines 140, 161, 182, 212</t>
  </si>
  <si>
    <t xml:space="preserve"> &lt;--- newest change, look here</t>
  </si>
  <si>
    <t>We changed the three numbers in red</t>
  </si>
  <si>
    <t xml:space="preserve"> 4-30-19  we are not going to use aver in vdb,  if we decide to use it again, the numbers for 3304 have changed.</t>
  </si>
  <si>
    <t xml:space="preserve"> co-zeta</t>
  </si>
  <si>
    <t xml:space="preserve"> ca-zeta</t>
  </si>
  <si>
    <t xml:space="preserve"> hunters co-zeta is based on   prel ring 1stg   and   w50-16</t>
  </si>
  <si>
    <t xml:space="preserve"> compare (3399) to hunter target</t>
  </si>
  <si>
    <t xml:space="preserve"> compare (3399) to cody target</t>
  </si>
  <si>
    <t xml:space="preserve"> codys co-zeta is based on      prel ring ls   and   w50-16</t>
  </si>
  <si>
    <t xml:space="preserve"> - prel ring 1stg  seems to to increase c force at 5-10ips</t>
  </si>
  <si>
    <t xml:space="preserve"> start targets at same c force at 1ips, both with 4.45spr</t>
  </si>
  <si>
    <t>we used zeta correction factor to get c force</t>
  </si>
  <si>
    <t>numbers to start the same</t>
  </si>
  <si>
    <t>hunter</t>
  </si>
  <si>
    <t>cody</t>
  </si>
  <si>
    <t>after smoothing numbers in C and D, we</t>
  </si>
  <si>
    <t>target</t>
  </si>
  <si>
    <t>put back by dividing by factor</t>
  </si>
  <si>
    <t xml:space="preserve"> 2-1</t>
  </si>
  <si>
    <t xml:space="preserve"> 1/2</t>
  </si>
  <si>
    <t xml:space="preserve"> 2/1</t>
  </si>
  <si>
    <t xml:space="preserve"> [c-zeta]</t>
  </si>
  <si>
    <t xml:space="preserve"> lb diff</t>
  </si>
  <si>
    <t>[%]</t>
  </si>
  <si>
    <t>hunter/.99</t>
  </si>
  <si>
    <t>cody/.992</t>
  </si>
  <si>
    <t xml:space="preserve"> % diff</t>
  </si>
  <si>
    <t xml:space="preserve"> % increase</t>
  </si>
  <si>
    <t xml:space="preserve"> (3171)</t>
  </si>
  <si>
    <t xml:space="preserve"> (3304)</t>
  </si>
  <si>
    <t xml:space="preserve"> 8</t>
  </si>
  <si>
    <t xml:space="preserve"> 9</t>
  </si>
  <si>
    <t xml:space="preserve"> CHANGED</t>
  </si>
  <si>
    <t xml:space="preserve"> ar %</t>
  </si>
  <si>
    <t xml:space="preserve"> ar lbs</t>
  </si>
  <si>
    <r>
      <t xml:space="preserve"> 129_74_35_b x</t>
    </r>
    <r>
      <rPr>
        <sz val="11"/>
        <color indexed="12"/>
        <rFont val="Calibri"/>
        <family val="2"/>
      </rPr>
      <t xml:space="preserve"> 1.0</t>
    </r>
    <r>
      <rPr>
        <sz val="11"/>
        <rFont val="Calibri"/>
        <family val="2"/>
      </rPr>
      <t xml:space="preserve"> </t>
    </r>
  </si>
  <si>
    <r>
      <t xml:space="preserve">    127_75_38_b x </t>
    </r>
    <r>
      <rPr>
        <sz val="11"/>
        <color indexed="12"/>
        <rFont val="Calibri"/>
        <family val="2"/>
      </rPr>
      <t>1.0</t>
    </r>
  </si>
  <si>
    <t>spr 4.2</t>
  </si>
  <si>
    <t xml:space="preserve"> spr 4.65</t>
  </si>
  <si>
    <r>
      <t xml:space="preserve"> 129_74_35_b x</t>
    </r>
    <r>
      <rPr>
        <sz val="11"/>
        <color indexed="12"/>
        <rFont val="Calibri"/>
        <family val="2"/>
      </rPr>
      <t xml:space="preserve"> 1.0 </t>
    </r>
    <r>
      <rPr>
        <sz val="11"/>
        <rFont val="Calibri"/>
        <family val="2"/>
      </rPr>
      <t xml:space="preserve"> </t>
    </r>
  </si>
  <si>
    <t xml:space="preserve"> 1a)</t>
  </si>
  <si>
    <t xml:space="preserve"> Create all target ca% targets</t>
  </si>
  <si>
    <t>c</t>
  </si>
  <si>
    <t>3423s</t>
  </si>
  <si>
    <t>19 SXF 350</t>
  </si>
  <si>
    <t>mx18-psh</t>
  </si>
  <si>
    <t xml:space="preserve"> no change, this is new c-zeta curve</t>
  </si>
  <si>
    <t xml:space="preserve"> 6-24-19</t>
  </si>
  <si>
    <t xml:space="preserve">  3423s is most recent.</t>
  </si>
  <si>
    <r>
      <t xml:space="preserve">Then I took the actual c force numbers from test </t>
    </r>
    <r>
      <rPr>
        <b/>
        <u/>
        <sz val="10"/>
        <color theme="1"/>
        <rFont val="Arial"/>
        <family val="2"/>
      </rPr>
      <t>3423</t>
    </r>
    <r>
      <rPr>
        <b/>
        <sz val="10"/>
        <color theme="1"/>
        <rFont val="Arial"/>
        <family val="2"/>
      </rPr>
      <t xml:space="preserve"> and looked at the curve with excel graph</t>
    </r>
  </si>
  <si>
    <t xml:space="preserve"> 3423</t>
  </si>
  <si>
    <t xml:space="preserve"> 3/1</t>
  </si>
  <si>
    <t xml:space="preserve"> 4/1</t>
  </si>
  <si>
    <t xml:space="preserve"> 5/1</t>
  </si>
  <si>
    <t xml:space="preserve"> 3416</t>
  </si>
  <si>
    <t xml:space="preserve"> 3421</t>
  </si>
  <si>
    <t xml:space="preserve"> 5/2</t>
  </si>
  <si>
    <t xml:space="preserve"> 3/2</t>
  </si>
  <si>
    <t xml:space="preserve"> 4/2</t>
  </si>
  <si>
    <t xml:space="preserve"> 4/3</t>
  </si>
  <si>
    <t xml:space="preserve"> 5/3</t>
  </si>
  <si>
    <t xml:space="preserve"> 5/4</t>
  </si>
  <si>
    <t xml:space="preserve"> lower % = higher at 1ips</t>
  </si>
  <si>
    <r>
      <t xml:space="preserve">We changed the three numbers in </t>
    </r>
    <r>
      <rPr>
        <b/>
        <sz val="10"/>
        <color rgb="FFFF0000"/>
        <rFont val="Arial"/>
        <family val="2"/>
      </rPr>
      <t>red</t>
    </r>
  </si>
  <si>
    <t xml:space="preserve"> #2</t>
  </si>
  <si>
    <t xml:space="preserve"> manually change to </t>
  </si>
  <si>
    <t xml:space="preserve"> for 3423</t>
  </si>
  <si>
    <r>
      <t xml:space="preserve">    Adding back the </t>
    </r>
    <r>
      <rPr>
        <u/>
        <sz val="10"/>
        <color theme="1"/>
        <rFont val="Arial"/>
        <family val="2"/>
      </rPr>
      <t>adjusted gas difference</t>
    </r>
    <r>
      <rPr>
        <sz val="10"/>
        <color theme="1"/>
        <rFont val="Arial"/>
        <family val="2"/>
      </rPr>
      <t xml:space="preserve"> will result in more accureate and comparable target numbers between tests (because there will always be a gas force difference). </t>
    </r>
  </si>
  <si>
    <t xml:space="preserve"> 12</t>
  </si>
  <si>
    <t xml:space="preserve"> 145_80_37_f</t>
  </si>
  <si>
    <t xml:space="preserve"> --&gt; we originally tested this with 12sxf450-psh, then changed the pressure numbers from 73 to 69 and renamed v6.</t>
  </si>
  <si>
    <t>10-13-19</t>
  </si>
  <si>
    <t xml:space="preserve"> We are going to take this curve and change cadj force to make it similar to Rob Riner 3514s, Stock Dyno</t>
  </si>
  <si>
    <t>3514s</t>
  </si>
  <si>
    <t>Rob Riner</t>
  </si>
  <si>
    <t>v11</t>
  </si>
  <si>
    <t xml:space="preserve"> Create c-zeta comp curve with lev ratio 2.52.</t>
  </si>
  <si>
    <t>end</t>
  </si>
  <si>
    <t>selected ca% we are going to use.</t>
  </si>
  <si>
    <t>This is the actual ca force for</t>
  </si>
  <si>
    <t>It is used in G127 and also S155</t>
  </si>
  <si>
    <t xml:space="preserve"> &lt; lev ratio</t>
  </si>
  <si>
    <t>m/s</t>
  </si>
  <si>
    <t>and is just used for comparison as</t>
  </si>
  <si>
    <t xml:space="preserve">the target ca force will now become </t>
  </si>
  <si>
    <t>dependant on ca% in column F</t>
  </si>
  <si>
    <t>compare</t>
  </si>
  <si>
    <t>3514 copy</t>
  </si>
  <si>
    <t xml:space="preserve"> This is for the 16 flsprs</t>
  </si>
  <si>
    <t>use this one</t>
  </si>
  <si>
    <t xml:space="preserve">SUMMARY --&gt;  </t>
  </si>
  <si>
    <t xml:space="preserve"> --&gt; 10-30-19,  For 3514 we are going to create new ca% curve based on 3514 ca force.</t>
  </si>
  <si>
    <t xml:space="preserve"> 10-13-19, we used the new ca% curve from F30</t>
  </si>
  <si>
    <t xml:space="preserve"> --&gt;  10-13-19, all new comments for this page are in orange</t>
  </si>
  <si>
    <t xml:space="preserve"> --&gt;  10-30-19, We will use c force from 3171 and only change the ca% to that shown in F30 and K57</t>
  </si>
  <si>
    <t>this graph doesn't look that great, but it the diff of 2ips - 1ips and won't look good.</t>
  </si>
  <si>
    <t xml:space="preserve"> --&gt; 10-13-19, I manually change this to K57</t>
  </si>
  <si>
    <t xml:space="preserve">  --&gt; 10-13-19, we tested this with 12sxf450-psh, so to remove the difference in gas force simply change M155 from 77 to 73, this reduces co wgas</t>
  </si>
  <si>
    <t xml:space="preserve"> --&gt;   This c-zeta IS NOT used in vdb to calculate co wogas, we now use c-zeta for c force, ca-zeta for ca force, add together + drag + 4 cf</t>
  </si>
  <si>
    <t xml:space="preserve">         HOWEVER this c-zeta IS USED when we create graphs in     zeta_shcrz_adj_targ_chart.xlsm</t>
  </si>
  <si>
    <t xml:space="preserve"> 13</t>
  </si>
  <si>
    <t xml:space="preserve">C-ZETA CURVE NAME   (create manually) </t>
  </si>
  <si>
    <t xml:space="preserve"> --&gt; 10-13-19, we have to do this</t>
  </si>
  <si>
    <t xml:space="preserve"> for the 4.2 spring as we are using</t>
  </si>
  <si>
    <t xml:space="preserve"> Hunters 3171 original c force</t>
  </si>
  <si>
    <t xml:space="preserve"> 129_73_35_b</t>
  </si>
  <si>
    <t xml:space="preserve"> a = 12sxf450-psh,  15 flsprs</t>
  </si>
  <si>
    <t xml:space="preserve"> b = 16sxf250-psh,  15 flsprs</t>
  </si>
  <si>
    <t xml:space="preserve"> c = 12sxf450-psh,  16 flsprs</t>
  </si>
  <si>
    <t xml:space="preserve"> d = 16sxf250-psh,  16 flsprs</t>
  </si>
  <si>
    <t xml:space="preserve"> e = 12sxf450-psh, 16sxf250-psh,  15 flsprs</t>
  </si>
  <si>
    <t xml:space="preserve"> f = mx18-psh,  15 flsprs</t>
  </si>
  <si>
    <t xml:space="preserve"> 129_74_38_b</t>
  </si>
  <si>
    <t xml:space="preserve"> g = mx18-psh,  16 flsprs</t>
  </si>
  <si>
    <t xml:space="preserve"> Letters a thru x designate press shock and flsprs</t>
  </si>
  <si>
    <t xml:space="preserve"> we changed to 14 so all tests are the same</t>
  </si>
  <si>
    <t xml:space="preserve"> 130_82_35_g</t>
  </si>
  <si>
    <t xml:space="preserve"> [ zsc_caperc is based on ca% at 1, 5, 50ips]</t>
  </si>
  <si>
    <t xml:space="preserve"> 1-6-13</t>
  </si>
  <si>
    <t xml:space="preserve"> 3-7-13</t>
  </si>
  <si>
    <t xml:space="preserve"> 5-8-13</t>
  </si>
  <si>
    <t xml:space="preserve"> 7-9-13</t>
  </si>
  <si>
    <t xml:space="preserve"> 9-11-13</t>
  </si>
  <si>
    <t xml:space="preserve"> 11-12-13</t>
  </si>
  <si>
    <t xml:space="preserve"> 13-13-13</t>
  </si>
  <si>
    <t>caperc_1-6-13</t>
  </si>
  <si>
    <t>caperc_3-7-13</t>
  </si>
  <si>
    <t>caperc_5-8-13</t>
  </si>
  <si>
    <t>caperc_7-9-13</t>
  </si>
  <si>
    <t>caperc_9-11-13</t>
  </si>
  <si>
    <t>caperc_11-12-13</t>
  </si>
  <si>
    <t>caperc_13-13-13</t>
  </si>
  <si>
    <t xml:space="preserve">  These ca% are for 15 flsprs with stk cadj pist, stk pist prel and no prel ring.</t>
  </si>
  <si>
    <t xml:space="preserve">    ca% = 13%</t>
  </si>
  <si>
    <t xml:space="preserve"> These ca% are for 15 flsprs with stk cadj pist.  As of 10-12-13, we always used</t>
  </si>
  <si>
    <t xml:space="preserve"> caperc = 5-8-13.  If we add prel ring we may be able to get 9-13-13, for example.</t>
  </si>
  <si>
    <t xml:space="preserve"> These ca% are for 15 flsprs with stk cadj pist.  As per above info, we will create </t>
  </si>
  <si>
    <t xml:space="preserve"> ca% = 15%.  To achieve this we will take 13% x 1.154  [15/13=1.54].</t>
  </si>
  <si>
    <t xml:space="preserve">    ca% = 15%</t>
  </si>
  <si>
    <t>caperc_1-7-15</t>
  </si>
  <si>
    <t>caperc_13-14-15</t>
  </si>
  <si>
    <t>caperc_10-12-15</t>
  </si>
  <si>
    <t>caperc_8-11-15</t>
  </si>
  <si>
    <t>caperc_6-10-15</t>
  </si>
  <si>
    <t>caperc_15-15-15</t>
  </si>
  <si>
    <t>caperc_3-8-15</t>
  </si>
  <si>
    <t xml:space="preserve">    ca% = 20% at 5ips</t>
  </si>
  <si>
    <t xml:space="preserve"> This ca% are for 16 flsprs with stk cadj pist.  We created this new 'primary' ca% curve</t>
  </si>
  <si>
    <t xml:space="preserve"> 3514, F30 x .01</t>
  </si>
  <si>
    <t xml:space="preserve"> using Rob Riner 3514s 19sxf350 stock cadj stack with 16 flsprs and spring.</t>
  </si>
  <si>
    <t xml:space="preserve"> 10-20-19, 222pm, we have to stop here and test to determine how to keep cadj from cavitating at higher velocities, as per Calvin restackor calculations on 3514s in email 10-13-19, 821pm</t>
  </si>
  <si>
    <t>ca% 13</t>
  </si>
  <si>
    <t>ca% 15</t>
  </si>
  <si>
    <t>If we simply take (ca force / c force) ,we will get 15%</t>
  </si>
  <si>
    <t xml:space="preserve"> 10-28-19 we changed ca% from 13% to 15% in vdb</t>
  </si>
  <si>
    <t>We also created a 'reverse factor' , but don't use it anywhere</t>
  </si>
  <si>
    <t>So for now we will leave the 13% in column F</t>
  </si>
  <si>
    <t xml:space="preserve"> --&gt; 12-13-19 CONCLUSION on the new ca% curve.  Based on Bradley comments on 3516 this ca% curve did not work.  We won't use it</t>
  </si>
  <si>
    <t xml:space="preserve"> and remove it from vdb.</t>
  </si>
  <si>
    <t xml:space="preserve"> f =  mx18-psh,  15 flsprs</t>
  </si>
  <si>
    <t>v12</t>
  </si>
  <si>
    <t>v13</t>
  </si>
  <si>
    <t xml:space="preserve">  9-11-21  NOTE !!</t>
  </si>
  <si>
    <t>This percentage is 13%, which was the old way we computed where we  caforce / (cforce + caforce)</t>
  </si>
  <si>
    <t>OLD WAY CALCULATIING  ca%</t>
  </si>
  <si>
    <t>NEW WAY CALCULATIING  ca%</t>
  </si>
  <si>
    <t xml:space="preserve"> dia</t>
  </si>
  <si>
    <t xml:space="preserve"> mm^2</t>
  </si>
  <si>
    <t>caforce / (cforce + caforce)    this was looking for 13% as ideal</t>
  </si>
  <si>
    <t xml:space="preserve"> example 3423s</t>
  </si>
  <si>
    <t xml:space="preserve">    [ 254.56 / 1963.5 = 13% ]</t>
  </si>
  <si>
    <t xml:space="preserve">  [ (254.5 / (1963.5 - 254.5)) ]</t>
  </si>
  <si>
    <t xml:space="preserve"> (caforce / cforce )   this is looking for 14.9% as ideal</t>
  </si>
  <si>
    <t>old ca%</t>
  </si>
  <si>
    <t>new ca%</t>
  </si>
  <si>
    <t>Now we do it different.   ---&gt; see calculations to right</t>
  </si>
  <si>
    <t>3694s</t>
  </si>
  <si>
    <t>21 XCF 350</t>
  </si>
  <si>
    <t xml:space="preserve">  3694s is most recent.</t>
  </si>
  <si>
    <t xml:space="preserve"> UNSURE IF WE HAVE TO CHANGE THESE, WE WILL ENTER STUFF AND FIND OUT</t>
  </si>
  <si>
    <t xml:space="preserve"> actual ca force for 3694s</t>
  </si>
  <si>
    <t xml:space="preserve"> spring 4.7</t>
  </si>
  <si>
    <r>
      <t xml:space="preserve">Then I took the actual c force numbers from test </t>
    </r>
    <r>
      <rPr>
        <b/>
        <u/>
        <sz val="10"/>
        <color theme="1"/>
        <rFont val="Arial"/>
        <family val="2"/>
      </rPr>
      <t>3694</t>
    </r>
    <r>
      <rPr>
        <b/>
        <sz val="10"/>
        <color theme="1"/>
        <rFont val="Arial"/>
        <family val="2"/>
      </rPr>
      <t xml:space="preserve"> and looked at the curve with excel graph</t>
    </r>
  </si>
  <si>
    <t>The graph from 1-10ips had a funny hook.  ---&gt;  This time I used the original 146_80_37_f target numbers and  manully tweaked actual numbers.</t>
  </si>
  <si>
    <t xml:space="preserve"> --&gt; Basically I just copied the original c force target numbers in column D</t>
  </si>
  <si>
    <t xml:space="preserve"> ---&gt; Since we copied from previous target, no smoothing was needed</t>
  </si>
  <si>
    <t xml:space="preserve">  We are changing ca% from 13% to 15% as per  (cforce / caforce)</t>
  </si>
  <si>
    <t xml:space="preserve"> 3694s</t>
  </si>
  <si>
    <t xml:space="preserve">  this is used in G157</t>
  </si>
  <si>
    <t>We changes these to represent 15% and used 3694 ca force numbers as guide and changed stiff a bit as well</t>
  </si>
  <si>
    <t>We changed these ca% to 15% as well as above</t>
  </si>
  <si>
    <t xml:space="preserve"> 1-6-15</t>
  </si>
  <si>
    <t xml:space="preserve"> 3-7-15</t>
  </si>
  <si>
    <t xml:space="preserve"> 5-8-15</t>
  </si>
  <si>
    <t xml:space="preserve"> 7-9-15</t>
  </si>
  <si>
    <t xml:space="preserve"> 9-11-15</t>
  </si>
  <si>
    <t xml:space="preserve"> 11-12-15</t>
  </si>
  <si>
    <t xml:space="preserve"> 15-15-15</t>
  </si>
  <si>
    <t xml:space="preserve"> #0</t>
  </si>
  <si>
    <t>Looks like we will leave/ignore this</t>
  </si>
  <si>
    <t>Looks like we ignore this</t>
  </si>
  <si>
    <t xml:space="preserve">  We are choosing dynamic  75-75-76</t>
  </si>
  <si>
    <t xml:space="preserve">     which is 75 - 4 = 71</t>
  </si>
  <si>
    <t xml:space="preserve">      --&gt; remember, this changes from WP ressy pist to ressy bladder</t>
  </si>
  <si>
    <t xml:space="preserve">  9-11-21  NOTE !!   We have to leave this at 14 as vdb is set to remove 14 target gas and use actual gas</t>
  </si>
  <si>
    <t>phm bladder kit calc gas force = 71c,  linear = 75</t>
  </si>
  <si>
    <t>Bert Reynolds</t>
  </si>
  <si>
    <t xml:space="preserve">  I stopped when this = 1.000</t>
  </si>
  <si>
    <t xml:space="preserve"> 141_77_37_g</t>
  </si>
  <si>
    <t xml:space="preserve"> g = use for 10yzf450,  16 style flsprs  [yzf has 73c]</t>
  </si>
  <si>
    <t xml:space="preserve"> g = mx18-psh,  16 flsprs  [bladder 71c, pist 69c]</t>
  </si>
  <si>
    <t>v8</t>
  </si>
  <si>
    <t xml:space="preserve"> e = not used</t>
  </si>
  <si>
    <t>141_77_37_g</t>
  </si>
  <si>
    <t xml:space="preserve"> a = 12sxf450-psh</t>
  </si>
  <si>
    <t>18 shaft</t>
  </si>
  <si>
    <t xml:space="preserve"> b = 16sxf250-psh</t>
  </si>
  <si>
    <t xml:space="preserve"> c = 12sxf450-psh</t>
  </si>
  <si>
    <t xml:space="preserve"> d = 16sxf250-psh</t>
  </si>
  <si>
    <t xml:space="preserve"> f =  mx18-psh</t>
  </si>
  <si>
    <t xml:space="preserve"> g = mx18-psh</t>
  </si>
  <si>
    <t xml:space="preserve"> 77d</t>
  </si>
  <si>
    <t xml:space="preserve"> 73d</t>
  </si>
  <si>
    <t>bladder kit and ressy pist are different, e.g.</t>
  </si>
  <si>
    <t>stk ressy pist</t>
  </si>
  <si>
    <t>phm bladder kit</t>
  </si>
  <si>
    <t xml:space="preserve"> 75d</t>
  </si>
  <si>
    <t xml:space="preserve"> g = 10yzf450-psh</t>
  </si>
  <si>
    <t>stk bladder</t>
  </si>
  <si>
    <t>This is the calc and dynamic gas.</t>
  </si>
  <si>
    <t>Therefore, use same target regardless of ressy or bladder.</t>
  </si>
  <si>
    <t>But slight variations in gas do not change/affect the target numbers.</t>
  </si>
  <si>
    <t xml:space="preserve"> 4-3-22  We added this to  zeta_targetnu_sh_comp  table to save as placeholder for when we create c-zeta target for sherco KYB shock using  10yzf450-pctg.  Use same c-zeta numbers as id 14, just adjust for</t>
  </si>
  <si>
    <t xml:space="preserve"> just adjust for stiffer spring and 73-77 dynamic gas</t>
  </si>
  <si>
    <t xml:space="preserve">  see row 16</t>
  </si>
  <si>
    <t xml:space="preserve"> 141_77_37_i</t>
  </si>
  <si>
    <t xml:space="preserve"> 22 SXF NTL 350</t>
  </si>
  <si>
    <t xml:space="preserve"> Generic MXT c-zeta curve</t>
  </si>
  <si>
    <t xml:space="preserve"> &lt;-- take c-zeta curve from WP Bert shock id 13 and manully adjust ca% to linear 15%</t>
  </si>
  <si>
    <t xml:space="preserve"> national-psh10</t>
  </si>
  <si>
    <t xml:space="preserve"> hsca cone</t>
  </si>
  <si>
    <t>v116</t>
  </si>
  <si>
    <t>3694s [we are using this c-zeta for WP national shock ]</t>
  </si>
  <si>
    <t xml:space="preserve">  3694s [we are using this c-zeta for WP national shock ]</t>
  </si>
  <si>
    <t>We then want 15% in column F</t>
  </si>
  <si>
    <t>ntl sh ressy pist calc gas force = 78c,  linear = 82</t>
  </si>
  <si>
    <t xml:space="preserve"> h = 10yzf450-psh</t>
  </si>
  <si>
    <t xml:space="preserve"> i = 22sxfntL350</t>
  </si>
  <si>
    <t>hsca cone</t>
  </si>
  <si>
    <t xml:space="preserve"> 78c</t>
  </si>
  <si>
    <t xml:space="preserve"> 82d</t>
  </si>
  <si>
    <t>stk ressy piston</t>
  </si>
  <si>
    <t xml:space="preserve"> 5-28-22</t>
  </si>
  <si>
    <t xml:space="preserve"> mx18-psh  phm bladder kit</t>
  </si>
  <si>
    <t xml:space="preserve"> &lt;--- was newest until v8, look here</t>
  </si>
  <si>
    <t xml:space="preserve"> phm</t>
  </si>
  <si>
    <t xml:space="preserve"> 17xcf350</t>
  </si>
  <si>
    <t xml:space="preserve"> &lt;--- 5-28-22 newest change, look here</t>
  </si>
  <si>
    <t xml:space="preserve"> 5-28-22 </t>
  </si>
  <si>
    <t xml:space="preserve"> We copied   czeta_bkwd_3694s_id15_h  and made changes to reflect 3075s</t>
  </si>
  <si>
    <r>
      <t xml:space="preserve">Then I took the actual c force numbers from test </t>
    </r>
    <r>
      <rPr>
        <b/>
        <u/>
        <sz val="10"/>
        <color theme="1"/>
        <rFont val="Arial"/>
        <family val="2"/>
      </rPr>
      <t>3075</t>
    </r>
    <r>
      <rPr>
        <b/>
        <sz val="10"/>
        <color theme="1"/>
        <rFont val="Arial"/>
        <family val="2"/>
      </rPr>
      <t xml:space="preserve"> and looked at the curve with excel graph</t>
    </r>
  </si>
  <si>
    <t xml:space="preserve"> copy column R to F</t>
  </si>
  <si>
    <t xml:space="preserve"> g =  mx18-psh,  16 flsprs</t>
  </si>
  <si>
    <t xml:space="preserve"> apparently we use 'g' for all different gas force</t>
  </si>
  <si>
    <t xml:space="preserve">    This is comment copied from vdb.</t>
  </si>
  <si>
    <t>mx18-psh with ressy pist, gas force = 69c, 73d with 16 flsprs</t>
  </si>
  <si>
    <t>mx18-psh with bladder kit, gas force = 71c, 75d with 16 flsprs</t>
  </si>
  <si>
    <t xml:space="preserve">10yzf450-psh with bladder, gas force = 73c, 77d with 16 flsprs </t>
  </si>
  <si>
    <t xml:space="preserve"> 103_58_30_g</t>
  </si>
  <si>
    <t xml:space="preserve"> 17</t>
  </si>
  <si>
    <t xml:space="preserve"> 5-28-22  Unsure what  'h' is for as it appears to be the same as  'g', and we have 'g' entered in vdb.</t>
  </si>
  <si>
    <t>8-17-22  We are playing with removing actual gas force and drag</t>
  </si>
  <si>
    <t>gas + drag</t>
  </si>
  <si>
    <t xml:space="preserve"> 8-17-22</t>
  </si>
  <si>
    <t xml:space="preserve"> We redid 3694 on this tab with correct cforce at 1ips</t>
  </si>
  <si>
    <t xml:space="preserve"> We redid 3694 on (2) tab with correct cforce at 1ips</t>
  </si>
  <si>
    <t xml:space="preserve"> average 2ips/1ips = 2.00</t>
  </si>
  <si>
    <t xml:space="preserve"> we made drag look nice on graph</t>
  </si>
  <si>
    <t xml:space="preserve">  109_74_38_g</t>
  </si>
  <si>
    <t xml:space="preserve"> we are using actual gas force phm bladder kit -----------------&gt;</t>
  </si>
  <si>
    <t xml:space="preserve"> 8-23-22</t>
  </si>
  <si>
    <t>we averaged</t>
  </si>
  <si>
    <t>this drag force for LDPB</t>
  </si>
  <si>
    <t xml:space="preserve">  119_76_38_g</t>
  </si>
  <si>
    <t xml:space="preserve">  100_71_38_g</t>
  </si>
  <si>
    <t xml:space="preserve"> 103 x 1.27</t>
  </si>
  <si>
    <t xml:space="preserve"> 109 x 1.00</t>
  </si>
  <si>
    <t xml:space="preserve"> 8-24-22 we manually adjusted cforce for the 4 incremental targets</t>
  </si>
  <si>
    <t xml:space="preserve">  128_79_38_g</t>
  </si>
  <si>
    <t xml:space="preserve"> linear regression</t>
  </si>
  <si>
    <t xml:space="preserve"> 8-23-22  We redid 3694 and made 5 incremental targets.  </t>
  </si>
  <si>
    <t xml:space="preserve">  90_68_38_g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</si>
</sst>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
    <numFmt numFmtId="167" formatCode="0.0%"/>
    <numFmt numFmtId="168" formatCode="0.00000"/>
    <numFmt numFmtId="169" formatCode="0.000000"/>
  </numFmts>
  <fonts count="80" x14ac:knownFonts="1">
    <font>
      <sz val="10"/>
      <color theme="1"/>
      <name val="Arial"/>
      <family val="2"/>
    </font>
    <font>
      <u/>
      <sz val="10"/>
      <color theme="1"/>
      <name val="Arial"/>
      <family val="2"/>
    </font>
    <font>
      <sz val="10"/>
      <color rgb="FF0070C0"/>
      <name val="Arial"/>
      <family val="2"/>
    </font>
    <font>
      <b/>
      <sz val="10"/>
      <color theme="1"/>
      <name val="Arial"/>
      <family val="2"/>
    </font>
    <font>
      <i/>
      <sz val="9"/>
      <color theme="1"/>
      <name val="Arial"/>
      <family val="2"/>
    </font>
    <font>
      <b/>
      <sz val="10"/>
      <color rgb="FFFF0000"/>
      <name val="Arial"/>
      <family val="2"/>
    </font>
    <font>
      <sz val="9"/>
      <color theme="1"/>
      <name val="Trebuchet MS"/>
      <family val="2"/>
    </font>
    <font>
      <sz val="10"/>
      <name val="Arial"/>
      <family val="2"/>
    </font>
    <font>
      <sz val="9"/>
      <color theme="1" tint="0.249977111117893"/>
      <name val="Trebuchet MS"/>
      <family val="2"/>
    </font>
    <font>
      <sz val="10"/>
      <color rgb="FF008000"/>
      <name val="Arial"/>
      <family val="2"/>
    </font>
    <font>
      <sz val="9"/>
      <color theme="1"/>
      <name val="Arial"/>
      <family val="2"/>
    </font>
    <font>
      <sz val="9"/>
      <color rgb="FF0070C0"/>
      <name val="Trebuchet MS"/>
      <family val="2"/>
    </font>
    <font>
      <sz val="10"/>
      <color rgb="FFC00000"/>
      <name val="Arial"/>
      <family val="2"/>
    </font>
    <font>
      <b/>
      <sz val="10"/>
      <name val="Arial"/>
      <family val="2"/>
    </font>
    <font>
      <sz val="10"/>
      <color theme="8" tint="-0.249977111117893"/>
      <name val="Arial"/>
      <family val="2"/>
    </font>
    <font>
      <sz val="10"/>
      <color theme="0" tint="-0.499984740745262"/>
      <name val="Arial"/>
      <family val="2"/>
    </font>
    <font>
      <b/>
      <sz val="10"/>
      <color rgb="FF0070C0"/>
      <name val="Arial"/>
      <family val="2"/>
    </font>
    <font>
      <b/>
      <sz val="10"/>
      <color rgb="FFC00000"/>
      <name val="Arial"/>
      <family val="2"/>
    </font>
    <font>
      <sz val="8"/>
      <color theme="1" tint="0.499984740745262"/>
      <name val="Arial"/>
      <family val="2"/>
    </font>
    <font>
      <sz val="10"/>
      <color theme="5" tint="0.39997558519241921"/>
      <name val="Arial"/>
      <family val="2"/>
    </font>
    <font>
      <sz val="10"/>
      <color theme="5"/>
      <name val="Arial"/>
      <family val="2"/>
    </font>
    <font>
      <sz val="10"/>
      <color rgb="FFFF0000"/>
      <name val="Arial"/>
      <family val="2"/>
    </font>
    <font>
      <sz val="9"/>
      <color theme="5"/>
      <name val="Trebuchet MS"/>
      <family val="2"/>
    </font>
    <font>
      <sz val="9"/>
      <color theme="5"/>
      <name val="Arial"/>
      <family val="2"/>
    </font>
    <font>
      <sz val="8"/>
      <color theme="8" tint="-0.249977111117893"/>
      <name val="Arial"/>
      <family val="2"/>
    </font>
    <font>
      <strike/>
      <sz val="10"/>
      <color theme="1"/>
      <name val="Arial"/>
      <family val="2"/>
    </font>
    <font>
      <b/>
      <sz val="12"/>
      <color rgb="FFFF0000"/>
      <name val="Arial"/>
      <family val="2"/>
    </font>
    <font>
      <sz val="10"/>
      <color theme="9" tint="-0.249977111117893"/>
      <name val="Arial"/>
      <family val="2"/>
    </font>
    <font>
      <sz val="10"/>
      <color rgb="FF00B0F0"/>
      <name val="Arial"/>
      <family val="2"/>
    </font>
    <font>
      <sz val="10"/>
      <color theme="1" tint="0.34998626667073579"/>
      <name val="Arial"/>
      <family val="2"/>
    </font>
    <font>
      <u/>
      <sz val="10"/>
      <name val="Arial"/>
      <family val="2"/>
    </font>
    <font>
      <sz val="10"/>
      <color rgb="FFBC5908"/>
      <name val="Arial"/>
      <family val="2"/>
    </font>
    <font>
      <sz val="8"/>
      <color theme="5"/>
      <name val="Arial"/>
      <family val="2"/>
    </font>
    <font>
      <b/>
      <sz val="12"/>
      <color theme="7" tint="0.39997558519241921"/>
      <name val="Arial"/>
      <family val="2"/>
    </font>
    <font>
      <b/>
      <sz val="10"/>
      <color rgb="FF7030A0"/>
      <name val="Arial"/>
      <family val="2"/>
    </font>
    <font>
      <sz val="10"/>
      <color rgb="FF7030A0"/>
      <name val="Arial"/>
      <family val="2"/>
    </font>
    <font>
      <b/>
      <sz val="10"/>
      <color theme="8" tint="-0.249977111117893"/>
      <name val="Arial"/>
      <family val="2"/>
    </font>
    <font>
      <b/>
      <sz val="12"/>
      <color theme="8" tint="-0.249977111117893"/>
      <name val="Arial"/>
      <family val="2"/>
    </font>
    <font>
      <sz val="8"/>
      <name val="Arial"/>
      <family val="2"/>
    </font>
    <font>
      <sz val="8"/>
      <color theme="0" tint="-0.499984740745262"/>
      <name val="Arial"/>
      <family val="2"/>
    </font>
    <font>
      <sz val="10"/>
      <color theme="1" tint="0.499984740745262"/>
      <name val="Arial"/>
      <family val="2"/>
    </font>
    <font>
      <sz val="9"/>
      <color theme="1" tint="0.499984740745262"/>
      <name val="Arial"/>
      <family val="2"/>
    </font>
    <font>
      <sz val="10"/>
      <color theme="6" tint="-0.249977111117893"/>
      <name val="Arial"/>
      <family val="2"/>
    </font>
    <font>
      <b/>
      <sz val="14"/>
      <color rgb="FFFF0000"/>
      <name val="Arial"/>
      <family val="2"/>
    </font>
    <font>
      <sz val="9"/>
      <color theme="0" tint="-0.499984740745262"/>
      <name val="Arial"/>
      <family val="2"/>
    </font>
    <font>
      <u/>
      <sz val="10"/>
      <color theme="0" tint="-0.499984740745262"/>
      <name val="Arial"/>
      <family val="2"/>
    </font>
    <font>
      <b/>
      <strike/>
      <sz val="10"/>
      <color rgb="FFFF0000"/>
      <name val="Arial"/>
      <family val="2"/>
    </font>
    <font>
      <sz val="9"/>
      <color theme="8" tint="-0.249977111117893"/>
      <name val="Trebuchet MS"/>
      <family val="2"/>
    </font>
    <font>
      <b/>
      <sz val="9"/>
      <color theme="8" tint="-0.249977111117893"/>
      <name val="Trebuchet MS"/>
      <family val="2"/>
    </font>
    <font>
      <sz val="11"/>
      <name val="Calibri"/>
      <family val="2"/>
    </font>
    <font>
      <sz val="11"/>
      <color indexed="12"/>
      <name val="Calibri"/>
      <family val="2"/>
    </font>
    <font>
      <sz val="11"/>
      <color indexed="60"/>
      <name val="Calibri"/>
      <family val="2"/>
    </font>
    <font>
      <sz val="9"/>
      <name val="Calibri"/>
      <family val="2"/>
    </font>
    <font>
      <sz val="9"/>
      <color indexed="60"/>
      <name val="Calibri"/>
      <family val="2"/>
    </font>
    <font>
      <sz val="11"/>
      <color indexed="48"/>
      <name val="Calibri"/>
      <family val="2"/>
    </font>
    <font>
      <sz val="8"/>
      <name val="Calibri"/>
      <family val="2"/>
    </font>
    <font>
      <sz val="11"/>
      <color rgb="FF0070C0"/>
      <name val="Calibri"/>
      <family val="2"/>
    </font>
    <font>
      <b/>
      <sz val="11"/>
      <color theme="1"/>
      <name val="Arial"/>
      <family val="2"/>
    </font>
    <font>
      <b/>
      <sz val="10"/>
      <color theme="8" tint="0.59999389629810485"/>
      <name val="Arial"/>
      <family val="2"/>
    </font>
    <font>
      <sz val="10"/>
      <color theme="8" tint="0.59999389629810485"/>
      <name val="Arial"/>
      <family val="2"/>
    </font>
    <font>
      <sz val="10"/>
      <color theme="0" tint="-0.249977111117893"/>
      <name val="Arial"/>
      <family val="2"/>
    </font>
    <font>
      <b/>
      <sz val="11"/>
      <color rgb="FFC00000"/>
      <name val="Calibri"/>
      <family val="2"/>
    </font>
    <font>
      <b/>
      <sz val="11"/>
      <color rgb="FF0070C0"/>
      <name val="Calibri"/>
      <family val="2"/>
    </font>
    <font>
      <b/>
      <u/>
      <sz val="10"/>
      <color theme="1"/>
      <name val="Arial"/>
      <family val="2"/>
    </font>
    <font>
      <b/>
      <sz val="10"/>
      <color theme="9" tint="-0.249977111117893"/>
      <name val="Arial"/>
      <family val="2"/>
    </font>
    <font>
      <sz val="10"/>
      <color theme="4" tint="0.39997558519241921"/>
      <name val="Arial"/>
      <family val="2"/>
    </font>
    <font>
      <sz val="10"/>
      <color theme="5" tint="-0.249977111117893"/>
      <name val="Arial"/>
      <family val="2"/>
    </font>
    <font>
      <b/>
      <sz val="10"/>
      <color theme="5" tint="-0.249977111117893"/>
      <name val="Arial"/>
      <family val="2"/>
    </font>
    <font>
      <b/>
      <u/>
      <sz val="10"/>
      <color rgb="FFFF0000"/>
      <name val="Arial"/>
      <family val="2"/>
    </font>
    <font>
      <b/>
      <sz val="10"/>
      <color theme="9" tint="0.39997558519241921"/>
      <name val="Arial"/>
      <family val="2"/>
    </font>
    <font>
      <strike/>
      <sz val="10"/>
      <color theme="1" tint="0.499984740745262"/>
      <name val="Arial"/>
      <family val="2"/>
    </font>
    <font>
      <b/>
      <sz val="10"/>
      <color theme="0" tint="-0.34998626667073579"/>
      <name val="Arial"/>
      <family val="2"/>
    </font>
    <font>
      <sz val="16"/>
      <color rgb="FF7030A0"/>
      <name val="Arial"/>
      <family val="2"/>
    </font>
    <font>
      <sz val="14"/>
      <color rgb="FF7030A0"/>
      <name val="Arial"/>
      <family val="2"/>
    </font>
    <font>
      <b/>
      <sz val="12"/>
      <color theme="1"/>
      <name val="Arial"/>
      <family val="2"/>
    </font>
    <font>
      <b/>
      <sz val="9"/>
      <color theme="1" tint="0.249977111117893"/>
      <name val="Trebuchet MS"/>
      <family val="2"/>
    </font>
    <font>
      <b/>
      <sz val="12"/>
      <color rgb="FFC00000"/>
      <name val="Arial"/>
      <family val="2"/>
    </font>
    <font>
      <sz val="11"/>
      <name val="Calibri"/>
      <family val="2"/>
      <scheme val="minor"/>
    </font>
    <font>
      <sz val="10"/>
      <color indexed="17"/>
      <name val="Arial"/>
      <family val="2"/>
    </font>
    <font>
      <sz val="8"/>
      <color indexed="17"/>
      <name val="Arial"/>
      <family val="2"/>
    </font>
  </fonts>
  <fills count="15">
    <fill>
      <patternFill patternType="none"/>
    </fill>
    <fill>
      <patternFill patternType="gray125"/>
    </fill>
    <fill>
      <patternFill patternType="solid">
        <fgColor rgb="FFFFFF9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B9"/>
        <bgColor indexed="64"/>
      </patternFill>
    </fill>
    <fill>
      <patternFill patternType="solid">
        <fgColor theme="0" tint="-0.14999847407452621"/>
        <bgColor indexed="64"/>
      </patternFill>
    </fill>
    <fill>
      <patternFill patternType="solid">
        <fgColor rgb="FFD6D6D6"/>
        <bgColor indexed="64"/>
      </patternFill>
    </fill>
    <fill>
      <patternFill patternType="solid">
        <fgColor rgb="FFEBF1DC"/>
        <bgColor indexed="64"/>
      </patternFill>
    </fill>
    <fill>
      <patternFill patternType="solid">
        <fgColor indexed="42"/>
        <bgColor indexed="64"/>
      </patternFill>
    </fill>
    <fill>
      <patternFill patternType="solid">
        <fgColor indexed="26"/>
        <bgColor indexed="64"/>
      </patternFill>
    </fill>
    <fill>
      <patternFill patternType="solid">
        <fgColor rgb="FFE7EED5"/>
        <bgColor indexed="64"/>
      </patternFill>
    </fill>
    <fill>
      <patternFill patternType="solid">
        <fgColor rgb="FFFFFF00"/>
        <bgColor indexed="64"/>
      </patternFill>
    </fill>
  </fills>
  <borders count="1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rgb="FFF4F4F4"/>
      </right>
      <top style="thin">
        <color rgb="FFF4F4F4"/>
      </top>
      <bottom/>
      <diagonal/>
    </border>
    <border>
      <left style="thin">
        <color rgb="FFF4F4F4"/>
      </left>
      <right style="thin">
        <color rgb="FFF4F4F4"/>
      </right>
      <top style="thin">
        <color rgb="FFF4F4F4"/>
      </top>
      <bottom style="thin">
        <color rgb="FFF4F4F4"/>
      </bottom>
      <diagonal/>
    </border>
    <border>
      <left/>
      <right style="thin">
        <color rgb="FFF4F4F4"/>
      </right>
      <top style="thin">
        <color rgb="FFF4F4F4"/>
      </top>
      <bottom style="thin">
        <color rgb="FFF4F4F4"/>
      </bottom>
      <diagonal/>
    </border>
    <border>
      <left style="thin">
        <color rgb="FFAABFAA"/>
      </left>
      <right style="thin">
        <color rgb="FFAABFAA"/>
      </right>
      <top style="thin">
        <color rgb="FFECECEC"/>
      </top>
      <bottom style="thin">
        <color rgb="FFECECEC"/>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F4F4F4"/>
      </left>
      <right/>
      <top style="thin">
        <color rgb="FFF4F4F4"/>
      </top>
      <bottom style="thin">
        <color rgb="FFF4F4F4"/>
      </bottom>
      <diagonal/>
    </border>
    <border>
      <left style="thin">
        <color rgb="FFFFFFFF"/>
      </left>
      <right style="thin">
        <color rgb="FFFFFFFF"/>
      </right>
      <top style="thin">
        <color rgb="FFFFFFFF"/>
      </top>
      <bottom style="thin">
        <color rgb="FFFFFFFF"/>
      </bottom>
      <diagonal/>
    </border>
    <border>
      <left/>
      <right style="thin">
        <color rgb="FFFFFFFF"/>
      </right>
      <top/>
      <bottom/>
      <diagonal/>
    </border>
    <border>
      <left style="thin">
        <color rgb="FFFFFFFF"/>
      </left>
      <right style="thin">
        <color rgb="FFFFFFFF"/>
      </right>
      <top/>
      <bottom/>
      <diagonal/>
    </border>
    <border>
      <left style="thin">
        <color indexed="64"/>
      </left>
      <right style="thin">
        <color rgb="FFFFFFFF"/>
      </right>
      <top style="thin">
        <color rgb="FFFFFFFF"/>
      </top>
      <bottom style="thin">
        <color rgb="FFFFFFFF"/>
      </bottom>
      <diagonal/>
    </border>
    <border>
      <left style="thin">
        <color indexed="64"/>
      </left>
      <right style="thin">
        <color rgb="FFFFFFFF"/>
      </right>
      <top style="thin">
        <color rgb="FFFFFFFF"/>
      </top>
      <bottom style="thin">
        <color indexed="64"/>
      </bottom>
      <diagonal/>
    </border>
    <border>
      <left style="thin">
        <color rgb="FFFFFFFF"/>
      </left>
      <right style="thin">
        <color rgb="FFFFFFFF"/>
      </right>
      <top style="thin">
        <color rgb="FFFFFFFF"/>
      </top>
      <bottom style="thin">
        <color indexed="64"/>
      </bottom>
      <diagonal/>
    </border>
    <border>
      <left style="thin">
        <color indexed="64"/>
      </left>
      <right style="thin">
        <color indexed="64"/>
      </right>
      <top style="thin">
        <color rgb="FFFFFFFF"/>
      </top>
      <bottom style="thin">
        <color rgb="FFFFFFF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style="medium">
        <color indexed="64"/>
      </left>
      <right style="medium">
        <color indexed="64"/>
      </right>
      <top style="medium">
        <color indexed="64"/>
      </top>
      <bottom style="thin">
        <color rgb="FFFFFFFF"/>
      </bottom>
      <diagonal/>
    </border>
    <border>
      <left style="medium">
        <color indexed="64"/>
      </left>
      <right style="medium">
        <color indexed="64"/>
      </right>
      <top style="thin">
        <color rgb="FFFFFFFF"/>
      </top>
      <bottom style="thin">
        <color rgb="FFFFFFFF"/>
      </bottom>
      <diagonal/>
    </border>
    <border>
      <left style="medium">
        <color indexed="64"/>
      </left>
      <right style="medium">
        <color indexed="64"/>
      </right>
      <top style="thin">
        <color rgb="FFFFFFFF"/>
      </top>
      <bottom style="medium">
        <color indexed="64"/>
      </bottom>
      <diagonal/>
    </border>
    <border>
      <left/>
      <right style="thin">
        <color indexed="64"/>
      </right>
      <top style="thin">
        <color indexed="64"/>
      </top>
      <bottom style="thin">
        <color rgb="FFFFFFFF"/>
      </bottom>
      <diagonal/>
    </border>
    <border>
      <left/>
      <right style="thin">
        <color indexed="64"/>
      </right>
      <top style="thin">
        <color rgb="FFFFFFFF"/>
      </top>
      <bottom style="thin">
        <color rgb="FFFFFFFF"/>
      </bottom>
      <diagonal/>
    </border>
    <border>
      <left style="thin">
        <color rgb="FFFFFFFF"/>
      </left>
      <right/>
      <top/>
      <bottom/>
      <diagonal/>
    </border>
    <border>
      <left style="thin">
        <color indexed="64"/>
      </left>
      <right style="thin">
        <color indexed="64"/>
      </right>
      <top style="thin">
        <color rgb="FFFFFFFF"/>
      </top>
      <bottom style="thin">
        <color indexed="64"/>
      </bottom>
      <diagonal/>
    </border>
    <border>
      <left style="thin">
        <color indexed="64"/>
      </left>
      <right style="thin">
        <color indexed="64"/>
      </right>
      <top style="thin">
        <color indexed="64"/>
      </top>
      <bottom style="thin">
        <color rgb="FFFFFFFF"/>
      </bottom>
      <diagonal/>
    </border>
    <border>
      <left style="thin">
        <color indexed="64"/>
      </left>
      <right/>
      <top style="thin">
        <color rgb="FFFFFFFF"/>
      </top>
      <bottom style="thin">
        <color rgb="FFFFFFFF"/>
      </bottom>
      <diagonal/>
    </border>
    <border>
      <left style="thin">
        <color rgb="FFFF0000"/>
      </left>
      <right style="thin">
        <color indexed="64"/>
      </right>
      <top style="thin">
        <color rgb="FFFF0000"/>
      </top>
      <bottom style="thin">
        <color indexed="64"/>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FFFF"/>
      </left>
      <right style="thin">
        <color rgb="FFFFFFFF"/>
      </right>
      <top/>
      <bottom style="thin">
        <color rgb="FFFFFFFF"/>
      </bottom>
      <diagonal/>
    </border>
    <border>
      <left/>
      <right style="thin">
        <color rgb="FFF4F4F4"/>
      </right>
      <top/>
      <bottom style="thin">
        <color rgb="FFF4F4F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499984740745262"/>
      </left>
      <right/>
      <top style="thin">
        <color theme="0" tint="-0.499984740745262"/>
      </top>
      <bottom style="thin">
        <color rgb="FFFFFFFF"/>
      </bottom>
      <diagonal/>
    </border>
    <border>
      <left style="thin">
        <color rgb="FFFFFFFF"/>
      </left>
      <right style="thin">
        <color theme="0" tint="-0.499984740745262"/>
      </right>
      <top style="thin">
        <color theme="0" tint="-0.499984740745262"/>
      </top>
      <bottom style="thin">
        <color rgb="FFFFFFFF"/>
      </bottom>
      <diagonal/>
    </border>
    <border>
      <left style="thin">
        <color theme="0" tint="-0.499984740745262"/>
      </left>
      <right/>
      <top style="thin">
        <color rgb="FFFFFFFF"/>
      </top>
      <bottom style="thin">
        <color rgb="FFFFFFFF"/>
      </bottom>
      <diagonal/>
    </border>
    <border>
      <left style="thin">
        <color rgb="FFFFFFFF"/>
      </left>
      <right style="thin">
        <color theme="0" tint="-0.499984740745262"/>
      </right>
      <top style="thin">
        <color rgb="FFFFFFFF"/>
      </top>
      <bottom style="thin">
        <color rgb="FFFFFFFF"/>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rgb="FFFFFFFF"/>
      </bottom>
      <diagonal/>
    </border>
    <border>
      <left style="thin">
        <color theme="0" tint="-0.499984740745262"/>
      </left>
      <right style="thin">
        <color theme="0" tint="-0.499984740745262"/>
      </right>
      <top style="thin">
        <color rgb="FFFFFFFF"/>
      </top>
      <bottom style="thin">
        <color rgb="FFFFFFFF"/>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rgb="FFFFFFFF"/>
      </left>
      <right/>
      <top/>
      <bottom style="thin">
        <color rgb="FFFFFFF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rgb="FFF4F4F4"/>
      </top>
      <bottom style="thin">
        <color rgb="FFF4F4F4"/>
      </bottom>
      <diagonal/>
    </border>
    <border>
      <left style="thin">
        <color indexed="64"/>
      </left>
      <right style="thin">
        <color indexed="64"/>
      </right>
      <top style="thin">
        <color rgb="FFF4F4F4"/>
      </top>
      <bottom style="thin">
        <color rgb="FFF4F4F4"/>
      </bottom>
      <diagonal/>
    </border>
    <border>
      <left/>
      <right/>
      <top style="thin">
        <color rgb="FFF4F4F4"/>
      </top>
      <bottom/>
      <diagonal/>
    </border>
    <border>
      <left style="thin">
        <color indexed="64"/>
      </left>
      <right style="thin">
        <color indexed="64"/>
      </right>
      <top style="thin">
        <color rgb="FFF4F4F4"/>
      </top>
      <bottom/>
      <diagonal/>
    </border>
    <border>
      <left style="thin">
        <color rgb="FFF4F4F4"/>
      </left>
      <right/>
      <top style="thin">
        <color rgb="FFF4F4F4"/>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indexed="64"/>
      </left>
      <right style="medium">
        <color indexed="64"/>
      </right>
      <top style="thin">
        <color rgb="FFF4F4F4"/>
      </top>
      <bottom style="thin">
        <color rgb="FFF4F4F4"/>
      </bottom>
      <diagonal/>
    </border>
    <border>
      <left style="medium">
        <color indexed="64"/>
      </left>
      <right style="medium">
        <color indexed="64"/>
      </right>
      <top style="thin">
        <color rgb="FFF4F4F4"/>
      </top>
      <bottom style="medium">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top style="thin">
        <color indexed="64"/>
      </top>
      <bottom style="thin">
        <color indexed="9"/>
      </bottom>
      <diagonal/>
    </border>
    <border>
      <left style="thin">
        <color indexed="9"/>
      </left>
      <right style="thin">
        <color indexed="64"/>
      </right>
      <top style="thin">
        <color indexed="64"/>
      </top>
      <bottom style="thin">
        <color indexed="9"/>
      </bottom>
      <diagonal/>
    </border>
    <border>
      <left style="thin">
        <color indexed="64"/>
      </left>
      <right style="thin">
        <color indexed="9"/>
      </right>
      <top style="thin">
        <color indexed="9"/>
      </top>
      <bottom style="thin">
        <color indexed="9"/>
      </bottom>
      <diagonal/>
    </border>
    <border>
      <left style="thin">
        <color indexed="9"/>
      </left>
      <right style="thin">
        <color indexed="64"/>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64"/>
      </right>
      <top style="thin">
        <color indexed="9"/>
      </top>
      <bottom style="thin">
        <color indexed="64"/>
      </bottom>
      <diagonal/>
    </border>
    <border>
      <left style="thin">
        <color rgb="FFCC9933"/>
      </left>
      <right style="thin">
        <color rgb="FFCC9933"/>
      </right>
      <top style="thin">
        <color rgb="FFCC9933"/>
      </top>
      <bottom style="thin">
        <color rgb="FFCC9933"/>
      </bottom>
      <diagonal/>
    </border>
    <border>
      <left style="thin">
        <color rgb="FFFFFFFF"/>
      </left>
      <right style="thin">
        <color rgb="FFCC9933"/>
      </right>
      <top style="thin">
        <color rgb="FFFFFFFF"/>
      </top>
      <bottom style="thin">
        <color rgb="FFCC9933"/>
      </bottom>
      <diagonal/>
    </border>
    <border>
      <left style="thin">
        <color rgb="FFCC9933"/>
      </left>
      <right style="thin">
        <color rgb="FFCC9933"/>
      </right>
      <top style="thin">
        <color rgb="FFFFFFFF"/>
      </top>
      <bottom style="thin">
        <color rgb="FFCC9933"/>
      </bottom>
      <diagonal/>
    </border>
    <border>
      <left style="thin">
        <color rgb="FFCC9933"/>
      </left>
      <right style="thin">
        <color rgb="FFFFFFFF"/>
      </right>
      <top style="thin">
        <color rgb="FFFFFFFF"/>
      </top>
      <bottom style="thin">
        <color rgb="FFCC9933"/>
      </bottom>
      <diagonal/>
    </border>
    <border>
      <left style="thin">
        <color rgb="FFFFFFFF"/>
      </left>
      <right style="thin">
        <color rgb="FFCC9933"/>
      </right>
      <top style="thin">
        <color rgb="FFCC9933"/>
      </top>
      <bottom style="thin">
        <color rgb="FFCC9933"/>
      </bottom>
      <diagonal/>
    </border>
    <border>
      <left style="thin">
        <color rgb="FFCC9933"/>
      </left>
      <right style="thin">
        <color rgb="FFFFFFFF"/>
      </right>
      <top style="thin">
        <color rgb="FFCC9933"/>
      </top>
      <bottom style="thin">
        <color rgb="FFCC9933"/>
      </bottom>
      <diagonal/>
    </border>
    <border>
      <left style="thin">
        <color rgb="FFFFFFFF"/>
      </left>
      <right style="thin">
        <color rgb="FFCC9933"/>
      </right>
      <top style="thin">
        <color rgb="FFCC9933"/>
      </top>
      <bottom style="thin">
        <color rgb="FFFFFFFF"/>
      </bottom>
      <diagonal/>
    </border>
    <border>
      <left style="thin">
        <color rgb="FFCC9933"/>
      </left>
      <right style="thin">
        <color rgb="FFCC9933"/>
      </right>
      <top style="thin">
        <color rgb="FFCC9933"/>
      </top>
      <bottom style="thin">
        <color rgb="FFFFFFFF"/>
      </bottom>
      <diagonal/>
    </border>
    <border>
      <left style="thin">
        <color rgb="FFCC9933"/>
      </left>
      <right style="thin">
        <color rgb="FFFFFFFF"/>
      </right>
      <top style="thin">
        <color rgb="FFCC9933"/>
      </top>
      <bottom style="thin">
        <color rgb="FFFFFFFF"/>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indexed="64"/>
      </left>
      <right style="thin">
        <color indexed="64"/>
      </right>
      <top style="thin">
        <color rgb="FFFFFFFF"/>
      </top>
      <bottom/>
      <diagonal/>
    </border>
    <border>
      <left style="thin">
        <color theme="9" tint="-0.249977111117893"/>
      </left>
      <right style="thin">
        <color theme="9" tint="-0.249977111117893"/>
      </right>
      <top style="thin">
        <color theme="9" tint="-0.249977111117893"/>
      </top>
      <bottom/>
      <diagonal/>
    </border>
    <border>
      <left style="thin">
        <color theme="9" tint="-0.249977111117893"/>
      </left>
      <right style="thin">
        <color theme="9" tint="-0.249977111117893"/>
      </right>
      <top/>
      <bottom style="thin">
        <color indexed="64"/>
      </bottom>
      <diagonal/>
    </border>
    <border>
      <left style="thin">
        <color theme="9" tint="-0.249977111117893"/>
      </left>
      <right style="thin">
        <color theme="9" tint="-0.249977111117893"/>
      </right>
      <top style="thin">
        <color indexed="64"/>
      </top>
      <bottom/>
      <diagonal/>
    </border>
    <border>
      <left style="thin">
        <color theme="9" tint="-0.249977111117893"/>
      </left>
      <right style="thin">
        <color theme="9" tint="-0.249977111117893"/>
      </right>
      <top/>
      <bottom/>
      <diagonal/>
    </border>
    <border>
      <left style="thin">
        <color theme="9" tint="-0.249977111117893"/>
      </left>
      <right style="thin">
        <color theme="9" tint="-0.249977111117893"/>
      </right>
      <top/>
      <bottom style="thin">
        <color theme="9" tint="-0.249977111117893"/>
      </bottom>
      <diagonal/>
    </border>
    <border>
      <left style="thin">
        <color indexed="64"/>
      </left>
      <right style="thin">
        <color indexed="64"/>
      </right>
      <top style="thin">
        <color rgb="FFF4F4F4"/>
      </top>
      <bottom style="thin">
        <color indexed="64"/>
      </bottom>
      <diagonal/>
    </border>
  </borders>
  <cellStyleXfs count="1">
    <xf numFmtId="0" fontId="0" fillId="0" borderId="0"/>
  </cellStyleXfs>
  <cellXfs count="940">
    <xf numFmtId="0" fontId="0" fillId="0" borderId="0" xfId="0"/>
    <xf numFmtId="0" fontId="0" fillId="0" borderId="0" xfId="0" applyBorder="1"/>
    <xf numFmtId="0" fontId="0" fillId="0" borderId="0" xfId="0" applyBorder="1" applyAlignment="1">
      <alignment horizontal="center"/>
    </xf>
    <xf numFmtId="0" fontId="1" fillId="0" borderId="0" xfId="0" applyFont="1" applyBorder="1" applyAlignment="1">
      <alignment horizontal="center"/>
    </xf>
    <xf numFmtId="0" fontId="1" fillId="0" borderId="0" xfId="0" quotePrefix="1" applyFont="1" applyBorder="1" applyAlignment="1">
      <alignment horizontal="center"/>
    </xf>
    <xf numFmtId="164" fontId="0" fillId="0" borderId="0" xfId="0" applyNumberFormat="1" applyBorder="1" applyAlignment="1">
      <alignment horizontal="center"/>
    </xf>
    <xf numFmtId="0" fontId="3" fillId="3" borderId="2" xfId="0" applyFont="1" applyFill="1" applyBorder="1"/>
    <xf numFmtId="0" fontId="0" fillId="3" borderId="3" xfId="0" applyFill="1" applyBorder="1"/>
    <xf numFmtId="0" fontId="0" fillId="3" borderId="4" xfId="0" applyFill="1" applyBorder="1"/>
    <xf numFmtId="0" fontId="0" fillId="0" borderId="5" xfId="0" applyBorder="1"/>
    <xf numFmtId="0" fontId="0" fillId="0" borderId="6" xfId="0" applyBorder="1"/>
    <xf numFmtId="0" fontId="3" fillId="0" borderId="7" xfId="0" applyFont="1" applyBorder="1"/>
    <xf numFmtId="0" fontId="4" fillId="0" borderId="0" xfId="0" applyFont="1" applyBorder="1"/>
    <xf numFmtId="0" fontId="0" fillId="0" borderId="8" xfId="0" applyBorder="1" applyAlignment="1">
      <alignment horizontal="center"/>
    </xf>
    <xf numFmtId="0" fontId="3" fillId="0" borderId="9" xfId="0" applyFont="1" applyBorder="1"/>
    <xf numFmtId="0" fontId="4" fillId="0" borderId="10" xfId="0" applyFont="1" applyBorder="1"/>
    <xf numFmtId="0" fontId="0" fillId="0" borderId="11" xfId="0" applyBorder="1" applyAlignment="1">
      <alignment horizontal="center"/>
    </xf>
    <xf numFmtId="0" fontId="0" fillId="0" borderId="11" xfId="0" applyBorder="1"/>
    <xf numFmtId="0" fontId="3" fillId="0" borderId="12" xfId="0" applyFont="1" applyBorder="1" applyAlignment="1">
      <alignment horizontal="center"/>
    </xf>
    <xf numFmtId="0" fontId="3" fillId="0" borderId="5" xfId="0" applyFont="1" applyBorder="1" applyAlignment="1">
      <alignment horizontal="center"/>
    </xf>
    <xf numFmtId="0" fontId="4" fillId="0" borderId="7" xfId="0" applyFont="1" applyBorder="1" applyAlignment="1">
      <alignment horizontal="center"/>
    </xf>
    <xf numFmtId="0" fontId="4" fillId="0" borderId="0" xfId="0" applyFont="1" applyBorder="1" applyAlignment="1">
      <alignment horizontal="center"/>
    </xf>
    <xf numFmtId="0" fontId="0" fillId="0" borderId="8" xfId="0" applyBorder="1"/>
    <xf numFmtId="164" fontId="0" fillId="0" borderId="10" xfId="0" applyNumberFormat="1" applyBorder="1" applyAlignment="1">
      <alignment horizontal="center"/>
    </xf>
    <xf numFmtId="0" fontId="0" fillId="0" borderId="10" xfId="0" applyBorder="1"/>
    <xf numFmtId="0" fontId="0" fillId="0" borderId="6" xfId="0" applyBorder="1" applyAlignment="1">
      <alignment horizontal="center"/>
    </xf>
    <xf numFmtId="0" fontId="0" fillId="0" borderId="9" xfId="0" applyBorder="1" applyAlignment="1">
      <alignment horizontal="center"/>
    </xf>
    <xf numFmtId="0" fontId="5" fillId="0" borderId="0" xfId="0" applyFont="1"/>
    <xf numFmtId="0" fontId="0" fillId="0" borderId="0" xfId="0" quotePrefix="1" applyAlignment="1">
      <alignment horizontal="left"/>
    </xf>
    <xf numFmtId="0" fontId="0" fillId="0" borderId="13" xfId="0" quotePrefix="1" applyBorder="1" applyAlignment="1">
      <alignment horizontal="center"/>
    </xf>
    <xf numFmtId="0" fontId="0" fillId="0" borderId="1" xfId="0" applyBorder="1" applyAlignment="1">
      <alignment horizontal="center"/>
    </xf>
    <xf numFmtId="0" fontId="3" fillId="5" borderId="12" xfId="0" applyFont="1" applyFill="1" applyBorder="1"/>
    <xf numFmtId="0" fontId="0" fillId="5" borderId="5" xfId="0" applyFill="1" applyBorder="1"/>
    <xf numFmtId="0" fontId="0" fillId="5" borderId="6" xfId="0" applyFill="1" applyBorder="1"/>
    <xf numFmtId="164" fontId="0" fillId="0" borderId="7" xfId="0" applyNumberFormat="1" applyBorder="1" applyAlignment="1">
      <alignment horizontal="center"/>
    </xf>
    <xf numFmtId="0" fontId="0" fillId="0" borderId="7" xfId="0" applyBorder="1"/>
    <xf numFmtId="0" fontId="0" fillId="0" borderId="9" xfId="0" applyBorder="1"/>
    <xf numFmtId="164" fontId="0" fillId="0" borderId="0" xfId="0" applyNumberFormat="1"/>
    <xf numFmtId="0" fontId="0" fillId="0" borderId="0" xfId="0" applyAlignment="1">
      <alignment horizontal="center"/>
    </xf>
    <xf numFmtId="0" fontId="0" fillId="0" borderId="10" xfId="0" applyBorder="1" applyAlignment="1">
      <alignment horizontal="center"/>
    </xf>
    <xf numFmtId="0" fontId="0" fillId="0" borderId="0" xfId="0" applyFill="1" applyBorder="1"/>
    <xf numFmtId="0" fontId="0" fillId="0" borderId="0" xfId="0" applyFill="1"/>
    <xf numFmtId="0" fontId="5" fillId="0" borderId="0" xfId="0" applyFont="1" applyFill="1" applyBorder="1"/>
    <xf numFmtId="0" fontId="2" fillId="0" borderId="0" xfId="0" applyFont="1" applyAlignment="1">
      <alignment horizontal="center"/>
    </xf>
    <xf numFmtId="1" fontId="8" fillId="0" borderId="14" xfId="0" applyNumberFormat="1" applyFont="1" applyBorder="1" applyAlignment="1">
      <alignment horizontal="center" vertical="center" wrapText="1"/>
    </xf>
    <xf numFmtId="1" fontId="8" fillId="6" borderId="14" xfId="0" applyNumberFormat="1" applyFont="1" applyFill="1" applyBorder="1" applyAlignment="1">
      <alignment horizontal="center" vertical="center" wrapText="1"/>
    </xf>
    <xf numFmtId="1" fontId="8" fillId="3" borderId="14" xfId="0" applyNumberFormat="1" applyFont="1" applyFill="1" applyBorder="1" applyAlignment="1">
      <alignment horizontal="center" vertical="center" wrapText="1"/>
    </xf>
    <xf numFmtId="2" fontId="8" fillId="0" borderId="14" xfId="0" applyNumberFormat="1" applyFont="1" applyBorder="1" applyAlignment="1">
      <alignment horizontal="center" vertical="center" wrapText="1"/>
    </xf>
    <xf numFmtId="2" fontId="8" fillId="6" borderId="14" xfId="0" applyNumberFormat="1" applyFont="1" applyFill="1" applyBorder="1" applyAlignment="1">
      <alignment horizontal="center" vertical="center" wrapText="1"/>
    </xf>
    <xf numFmtId="2" fontId="8" fillId="3" borderId="14" xfId="0" applyNumberFormat="1" applyFont="1" applyFill="1" applyBorder="1" applyAlignment="1">
      <alignment horizontal="center" vertical="center" wrapText="1"/>
    </xf>
    <xf numFmtId="164" fontId="8" fillId="0" borderId="14" xfId="0" applyNumberFormat="1" applyFont="1" applyBorder="1" applyAlignment="1">
      <alignment horizontal="center" vertical="center" wrapText="1"/>
    </xf>
    <xf numFmtId="0" fontId="0" fillId="0" borderId="12" xfId="0" applyBorder="1"/>
    <xf numFmtId="0" fontId="3" fillId="0" borderId="0" xfId="0" applyFont="1" applyBorder="1" applyAlignment="1">
      <alignment horizontal="center"/>
    </xf>
    <xf numFmtId="2" fontId="0" fillId="0" borderId="0" xfId="0" applyNumberFormat="1"/>
    <xf numFmtId="164" fontId="8" fillId="6" borderId="14" xfId="0" applyNumberFormat="1" applyFont="1" applyFill="1" applyBorder="1" applyAlignment="1">
      <alignment horizontal="center" vertical="center" wrapText="1"/>
    </xf>
    <xf numFmtId="164" fontId="8" fillId="3" borderId="14" xfId="0" applyNumberFormat="1" applyFont="1" applyFill="1" applyBorder="1" applyAlignment="1">
      <alignment horizontal="center" vertical="center" wrapText="1"/>
    </xf>
    <xf numFmtId="0" fontId="0" fillId="0" borderId="0" xfId="0" quotePrefix="1" applyFont="1" applyAlignment="1">
      <alignment horizontal="left"/>
    </xf>
    <xf numFmtId="0" fontId="0" fillId="0" borderId="0" xfId="0" applyFont="1"/>
    <xf numFmtId="164" fontId="8" fillId="0" borderId="15" xfId="0" applyNumberFormat="1" applyFont="1" applyBorder="1" applyAlignment="1">
      <alignment horizontal="center" vertical="center" wrapText="1"/>
    </xf>
    <xf numFmtId="164" fontId="8" fillId="6" borderId="15" xfId="0" applyNumberFormat="1" applyFont="1" applyFill="1" applyBorder="1" applyAlignment="1">
      <alignment horizontal="center" vertical="center" wrapText="1"/>
    </xf>
    <xf numFmtId="164" fontId="8" fillId="3" borderId="15" xfId="0" applyNumberFormat="1" applyFont="1" applyFill="1" applyBorder="1" applyAlignment="1">
      <alignment horizontal="center" vertical="center" wrapText="1"/>
    </xf>
    <xf numFmtId="166" fontId="8" fillId="0" borderId="14" xfId="0" applyNumberFormat="1" applyFont="1" applyBorder="1" applyAlignment="1">
      <alignment horizontal="center" vertical="center" wrapText="1"/>
    </xf>
    <xf numFmtId="166" fontId="8" fillId="6" borderId="14" xfId="0" applyNumberFormat="1" applyFont="1" applyFill="1" applyBorder="1" applyAlignment="1">
      <alignment horizontal="center" vertical="center" wrapText="1"/>
    </xf>
    <xf numFmtId="166" fontId="8" fillId="3" borderId="14" xfId="0" applyNumberFormat="1" applyFont="1" applyFill="1" applyBorder="1" applyAlignment="1">
      <alignment horizontal="center" vertical="center" wrapText="1"/>
    </xf>
    <xf numFmtId="0" fontId="3" fillId="0" borderId="0" xfId="0" quotePrefix="1" applyFont="1" applyAlignment="1">
      <alignment horizontal="left"/>
    </xf>
    <xf numFmtId="2" fontId="2" fillId="0" borderId="0" xfId="0" applyNumberFormat="1" applyFont="1" applyAlignment="1">
      <alignment horizontal="center"/>
    </xf>
    <xf numFmtId="0" fontId="0" fillId="0" borderId="0" xfId="0" applyFill="1" applyBorder="1" applyAlignment="1">
      <alignment horizontal="center"/>
    </xf>
    <xf numFmtId="0" fontId="0" fillId="8" borderId="0" xfId="0" applyFill="1"/>
    <xf numFmtId="0" fontId="0" fillId="8" borderId="0" xfId="0" applyFill="1" applyAlignment="1">
      <alignment horizontal="center"/>
    </xf>
    <xf numFmtId="1" fontId="8" fillId="0" borderId="15" xfId="0" applyNumberFormat="1" applyFont="1" applyBorder="1" applyAlignment="1">
      <alignment horizontal="center" vertical="center" wrapText="1"/>
    </xf>
    <xf numFmtId="1" fontId="8" fillId="6" borderId="15" xfId="0" applyNumberFormat="1" applyFont="1" applyFill="1" applyBorder="1" applyAlignment="1">
      <alignment horizontal="center" vertical="center" wrapText="1"/>
    </xf>
    <xf numFmtId="1" fontId="8" fillId="3" borderId="15" xfId="0" applyNumberFormat="1" applyFont="1" applyFill="1" applyBorder="1" applyAlignment="1">
      <alignment horizontal="center" vertical="center" wrapText="1"/>
    </xf>
    <xf numFmtId="164" fontId="8" fillId="0" borderId="21" xfId="0" applyNumberFormat="1" applyFont="1" applyBorder="1" applyAlignment="1">
      <alignment horizontal="center" vertical="center" wrapText="1"/>
    </xf>
    <xf numFmtId="164" fontId="8" fillId="6" borderId="21" xfId="0" applyNumberFormat="1" applyFont="1" applyFill="1" applyBorder="1" applyAlignment="1">
      <alignment horizontal="center" vertical="center" wrapText="1"/>
    </xf>
    <xf numFmtId="164" fontId="8" fillId="3" borderId="21" xfId="0" applyNumberFormat="1" applyFont="1" applyFill="1" applyBorder="1" applyAlignment="1">
      <alignment horizontal="center" vertical="center" wrapText="1"/>
    </xf>
    <xf numFmtId="1" fontId="8" fillId="0" borderId="15" xfId="0" applyNumberFormat="1" applyFont="1" applyFill="1" applyBorder="1" applyAlignment="1">
      <alignment horizontal="center" vertical="center" wrapText="1"/>
    </xf>
    <xf numFmtId="164" fontId="8" fillId="0" borderId="21" xfId="0" applyNumberFormat="1" applyFont="1" applyFill="1" applyBorder="1" applyAlignment="1">
      <alignment horizontal="center" vertical="center" wrapText="1"/>
    </xf>
    <xf numFmtId="0" fontId="0" fillId="0" borderId="10" xfId="0" quotePrefix="1" applyBorder="1" applyAlignment="1">
      <alignment horizontal="left"/>
    </xf>
    <xf numFmtId="0" fontId="0" fillId="0" borderId="5" xfId="0" quotePrefix="1" applyBorder="1" applyAlignment="1">
      <alignment horizontal="left"/>
    </xf>
    <xf numFmtId="0" fontId="2" fillId="0" borderId="12" xfId="0" applyFont="1" applyBorder="1"/>
    <xf numFmtId="0" fontId="2" fillId="0" borderId="7" xfId="0" applyFont="1" applyBorder="1"/>
    <xf numFmtId="0" fontId="2" fillId="0" borderId="9" xfId="0" applyFont="1" applyBorder="1"/>
    <xf numFmtId="0" fontId="2" fillId="0" borderId="8" xfId="0" applyFont="1" applyBorder="1" applyAlignment="1">
      <alignment horizontal="center"/>
    </xf>
    <xf numFmtId="0" fontId="2" fillId="0" borderId="11" xfId="0" applyFont="1" applyBorder="1" applyAlignment="1">
      <alignment horizontal="center"/>
    </xf>
    <xf numFmtId="0" fontId="0" fillId="9" borderId="22" xfId="0" applyFill="1" applyBorder="1" applyAlignment="1">
      <alignment horizontal="center" vertical="center" wrapText="1"/>
    </xf>
    <xf numFmtId="0" fontId="0" fillId="10" borderId="22" xfId="0" applyFill="1" applyBorder="1" applyAlignment="1">
      <alignment horizontal="center" vertical="center" wrapText="1"/>
    </xf>
    <xf numFmtId="0" fontId="0" fillId="0" borderId="22" xfId="0" applyBorder="1" applyAlignment="1">
      <alignment horizontal="center" vertical="center" wrapText="1"/>
    </xf>
    <xf numFmtId="0" fontId="0" fillId="7" borderId="22" xfId="0" applyFill="1" applyBorder="1" applyAlignment="1">
      <alignment horizontal="center" vertical="center" wrapText="1"/>
    </xf>
    <xf numFmtId="0" fontId="9" fillId="0" borderId="0" xfId="0" applyFont="1"/>
    <xf numFmtId="0" fontId="0" fillId="9" borderId="23" xfId="0" applyFill="1" applyBorder="1" applyAlignment="1">
      <alignment horizontal="center" vertical="center" wrapText="1"/>
    </xf>
    <xf numFmtId="0" fontId="3" fillId="0" borderId="0" xfId="0" applyFont="1"/>
    <xf numFmtId="0" fontId="0" fillId="9" borderId="24" xfId="0" applyFill="1" applyBorder="1" applyAlignment="1">
      <alignment horizontal="center" vertical="center" wrapText="1"/>
    </xf>
    <xf numFmtId="164" fontId="0" fillId="10" borderId="22" xfId="0" applyNumberFormat="1" applyFill="1" applyBorder="1" applyAlignment="1">
      <alignment horizontal="center" vertical="center" wrapText="1"/>
    </xf>
    <xf numFmtId="164" fontId="0" fillId="7" borderId="22" xfId="0" applyNumberFormat="1" applyFill="1" applyBorder="1" applyAlignment="1">
      <alignment horizontal="center" vertical="center" wrapText="1"/>
    </xf>
    <xf numFmtId="164" fontId="0" fillId="0" borderId="22" xfId="0" applyNumberFormat="1" applyBorder="1" applyAlignment="1">
      <alignment horizontal="center" vertical="center" wrapText="1"/>
    </xf>
    <xf numFmtId="0" fontId="0" fillId="9" borderId="22" xfId="0" quotePrefix="1" applyFill="1" applyBorder="1" applyAlignment="1">
      <alignment horizontal="center" vertical="center" wrapText="1"/>
    </xf>
    <xf numFmtId="164" fontId="0" fillId="10" borderId="25" xfId="0" applyNumberFormat="1" applyFill="1" applyBorder="1" applyAlignment="1">
      <alignment horizontal="center" vertical="center" wrapText="1"/>
    </xf>
    <xf numFmtId="164" fontId="0" fillId="7" borderId="25" xfId="0" applyNumberFormat="1" applyFill="1" applyBorder="1" applyAlignment="1">
      <alignment horizontal="center" vertical="center" wrapText="1"/>
    </xf>
    <xf numFmtId="164" fontId="0" fillId="0" borderId="25" xfId="0" applyNumberFormat="1" applyBorder="1" applyAlignment="1">
      <alignment horizontal="center" vertical="center" wrapText="1"/>
    </xf>
    <xf numFmtId="164" fontId="0" fillId="7" borderId="26" xfId="0" applyNumberFormat="1" applyFill="1" applyBorder="1" applyAlignment="1">
      <alignment horizontal="center" vertical="center" wrapText="1"/>
    </xf>
    <xf numFmtId="164" fontId="0" fillId="7" borderId="27" xfId="0" applyNumberFormat="1" applyFill="1" applyBorder="1" applyAlignment="1">
      <alignment horizontal="center" vertical="center" wrapText="1"/>
    </xf>
    <xf numFmtId="0" fontId="0" fillId="9" borderId="18" xfId="0" applyFill="1" applyBorder="1" applyAlignment="1">
      <alignment horizontal="center" vertical="center" wrapText="1"/>
    </xf>
    <xf numFmtId="0" fontId="0" fillId="9" borderId="28" xfId="0" applyFill="1" applyBorder="1" applyAlignment="1">
      <alignment horizontal="center" vertical="center" wrapText="1"/>
    </xf>
    <xf numFmtId="0" fontId="7" fillId="9" borderId="18" xfId="0" applyFont="1" applyFill="1" applyBorder="1" applyAlignment="1">
      <alignment horizontal="center" vertical="center" wrapText="1"/>
    </xf>
    <xf numFmtId="0" fontId="7" fillId="9" borderId="28" xfId="0" applyFont="1" applyFill="1" applyBorder="1" applyAlignment="1">
      <alignment horizontal="center" vertical="center" wrapText="1"/>
    </xf>
    <xf numFmtId="0" fontId="7" fillId="0" borderId="0" xfId="0" applyFont="1" applyAlignment="1">
      <alignment horizontal="center"/>
    </xf>
    <xf numFmtId="0" fontId="7" fillId="8" borderId="0" xfId="0" applyFont="1" applyFill="1" applyAlignment="1">
      <alignment horizontal="center"/>
    </xf>
    <xf numFmtId="0" fontId="0" fillId="9" borderId="33" xfId="0" applyFill="1" applyBorder="1" applyAlignment="1">
      <alignment horizontal="center" vertical="center" wrapText="1"/>
    </xf>
    <xf numFmtId="0" fontId="7" fillId="9" borderId="22" xfId="0" applyFont="1" applyFill="1" applyBorder="1" applyAlignment="1">
      <alignment horizontal="center" vertical="center" wrapText="1"/>
    </xf>
    <xf numFmtId="0" fontId="7" fillId="3" borderId="0" xfId="0" applyFont="1" applyFill="1" applyAlignment="1">
      <alignment horizontal="center"/>
    </xf>
    <xf numFmtId="0" fontId="7" fillId="6" borderId="0" xfId="0" applyFont="1" applyFill="1" applyAlignment="1">
      <alignment horizontal="center"/>
    </xf>
    <xf numFmtId="0" fontId="15" fillId="9" borderId="22" xfId="0" applyFont="1" applyFill="1" applyBorder="1" applyAlignment="1">
      <alignment horizontal="center" vertical="center" wrapText="1"/>
    </xf>
    <xf numFmtId="0" fontId="0" fillId="9" borderId="34" xfId="0" applyFill="1" applyBorder="1" applyAlignment="1">
      <alignment horizontal="center" vertical="center" wrapText="1"/>
    </xf>
    <xf numFmtId="0" fontId="18" fillId="9" borderId="22" xfId="0" quotePrefix="1" applyFont="1" applyFill="1" applyBorder="1" applyAlignment="1">
      <alignment horizontal="center" vertical="center" wrapText="1"/>
    </xf>
    <xf numFmtId="164" fontId="9" fillId="0" borderId="0" xfId="0" applyNumberFormat="1" applyFont="1" applyBorder="1" applyAlignment="1">
      <alignment horizontal="center"/>
    </xf>
    <xf numFmtId="164" fontId="12" fillId="0" borderId="0" xfId="0" applyNumberFormat="1" applyFont="1" applyBorder="1" applyAlignment="1">
      <alignment horizontal="center"/>
    </xf>
    <xf numFmtId="0" fontId="7" fillId="9" borderId="32" xfId="0" applyFont="1" applyFill="1" applyBorder="1" applyAlignment="1">
      <alignment horizontal="center" vertical="center" wrapText="1"/>
    </xf>
    <xf numFmtId="0" fontId="7" fillId="9" borderId="33" xfId="0" applyFont="1" applyFill="1" applyBorder="1" applyAlignment="1">
      <alignment horizontal="center" vertical="center" wrapText="1"/>
    </xf>
    <xf numFmtId="166" fontId="2" fillId="0" borderId="0" xfId="0" applyNumberFormat="1" applyFont="1" applyAlignment="1">
      <alignment horizontal="center"/>
    </xf>
    <xf numFmtId="164" fontId="7" fillId="3" borderId="0" xfId="0" applyNumberFormat="1" applyFont="1" applyFill="1" applyAlignment="1">
      <alignment horizontal="center"/>
    </xf>
    <xf numFmtId="164" fontId="7" fillId="6" borderId="0" xfId="0" applyNumberFormat="1" applyFont="1" applyFill="1" applyAlignment="1">
      <alignment horizontal="center"/>
    </xf>
    <xf numFmtId="164" fontId="7" fillId="0" borderId="0" xfId="0" applyNumberFormat="1" applyFont="1" applyAlignment="1">
      <alignment horizontal="center"/>
    </xf>
    <xf numFmtId="165" fontId="6" fillId="0" borderId="16" xfId="0" applyNumberFormat="1" applyFont="1" applyBorder="1" applyAlignment="1">
      <alignment horizontal="center" vertical="center" wrapText="1"/>
    </xf>
    <xf numFmtId="165" fontId="6" fillId="7" borderId="16" xfId="0" applyNumberFormat="1" applyFont="1" applyFill="1" applyBorder="1" applyAlignment="1">
      <alignment horizontal="center" vertical="center" wrapText="1"/>
    </xf>
    <xf numFmtId="0" fontId="3" fillId="0" borderId="0" xfId="0" quotePrefix="1" applyFont="1" applyFill="1" applyBorder="1" applyAlignment="1">
      <alignment horizontal="center"/>
    </xf>
    <xf numFmtId="0" fontId="4" fillId="0" borderId="0" xfId="0" quotePrefix="1" applyFont="1" applyFill="1" applyBorder="1" applyAlignment="1">
      <alignment horizontal="center"/>
    </xf>
    <xf numFmtId="164" fontId="0" fillId="0" borderId="35" xfId="0" applyNumberFormat="1" applyBorder="1" applyAlignment="1">
      <alignment horizontal="center" vertical="center" wrapText="1"/>
    </xf>
    <xf numFmtId="164" fontId="0" fillId="7" borderId="0" xfId="0" applyNumberFormat="1" applyFill="1" applyBorder="1" applyAlignment="1">
      <alignment horizontal="center" vertical="center" wrapText="1"/>
    </xf>
    <xf numFmtId="0" fontId="21" fillId="0" borderId="0" xfId="0" applyFont="1" applyAlignment="1">
      <alignment horizontal="center"/>
    </xf>
    <xf numFmtId="0" fontId="3" fillId="8" borderId="29" xfId="0" applyFont="1" applyFill="1" applyBorder="1" applyAlignment="1">
      <alignment horizontal="center"/>
    </xf>
    <xf numFmtId="0" fontId="3" fillId="8" borderId="30" xfId="0" applyFont="1" applyFill="1" applyBorder="1" applyAlignment="1">
      <alignment horizontal="center"/>
    </xf>
    <xf numFmtId="166" fontId="0" fillId="0" borderId="30" xfId="0" applyNumberFormat="1" applyBorder="1" applyAlignment="1">
      <alignment horizontal="center"/>
    </xf>
    <xf numFmtId="166" fontId="0" fillId="0" borderId="31" xfId="0" applyNumberFormat="1" applyBorder="1" applyAlignment="1">
      <alignment horizontal="center"/>
    </xf>
    <xf numFmtId="0" fontId="7" fillId="9" borderId="34" xfId="0" applyFont="1" applyFill="1" applyBorder="1" applyAlignment="1">
      <alignment horizontal="center" vertical="center" wrapText="1"/>
    </xf>
    <xf numFmtId="0" fontId="13" fillId="9" borderId="36" xfId="0" applyFont="1" applyFill="1" applyBorder="1" applyAlignment="1">
      <alignment horizontal="center" vertical="center" wrapText="1"/>
    </xf>
    <xf numFmtId="0" fontId="13" fillId="9" borderId="37" xfId="0" applyFont="1" applyFill="1" applyBorder="1" applyAlignment="1">
      <alignment horizontal="center" vertical="center" wrapText="1"/>
    </xf>
    <xf numFmtId="0" fontId="13" fillId="9" borderId="38" xfId="0" applyFont="1" applyFill="1" applyBorder="1" applyAlignment="1">
      <alignment horizontal="center" vertical="center" wrapText="1"/>
    </xf>
    <xf numFmtId="165" fontId="0" fillId="0" borderId="30" xfId="0" applyNumberFormat="1" applyBorder="1" applyAlignment="1">
      <alignment horizontal="center"/>
    </xf>
    <xf numFmtId="165" fontId="0" fillId="0" borderId="31" xfId="0" applyNumberFormat="1" applyBorder="1" applyAlignment="1">
      <alignment horizontal="center"/>
    </xf>
    <xf numFmtId="0" fontId="7" fillId="9" borderId="39" xfId="0" applyFont="1" applyFill="1" applyBorder="1" applyAlignment="1">
      <alignment horizontal="center" vertical="center" wrapText="1"/>
    </xf>
    <xf numFmtId="0" fontId="7" fillId="9" borderId="40" xfId="0" applyFont="1" applyFill="1" applyBorder="1" applyAlignment="1">
      <alignment horizontal="center" vertical="center" wrapText="1"/>
    </xf>
    <xf numFmtId="0" fontId="0" fillId="9" borderId="36" xfId="0" applyFill="1" applyBorder="1" applyAlignment="1">
      <alignment horizontal="center" vertical="center" wrapText="1"/>
    </xf>
    <xf numFmtId="0" fontId="0" fillId="9" borderId="37" xfId="0" applyFill="1" applyBorder="1" applyAlignment="1">
      <alignment horizontal="center" vertical="center" wrapText="1"/>
    </xf>
    <xf numFmtId="164" fontId="7" fillId="3" borderId="8" xfId="0" applyNumberFormat="1" applyFont="1" applyFill="1" applyBorder="1" applyAlignment="1">
      <alignment horizontal="center"/>
    </xf>
    <xf numFmtId="164" fontId="7" fillId="6" borderId="8" xfId="0" applyNumberFormat="1" applyFont="1" applyFill="1" applyBorder="1" applyAlignment="1">
      <alignment horizontal="center"/>
    </xf>
    <xf numFmtId="164" fontId="7" fillId="0" borderId="8" xfId="0" applyNumberFormat="1" applyFont="1" applyBorder="1" applyAlignment="1">
      <alignment horizontal="center"/>
    </xf>
    <xf numFmtId="164" fontId="7" fillId="6" borderId="11" xfId="0" applyNumberFormat="1" applyFont="1" applyFill="1" applyBorder="1" applyAlignment="1">
      <alignment horizontal="center"/>
    </xf>
    <xf numFmtId="0" fontId="0" fillId="9" borderId="39" xfId="0" quotePrefix="1" applyFill="1" applyBorder="1" applyAlignment="1">
      <alignment horizontal="center" vertical="center" wrapText="1"/>
    </xf>
    <xf numFmtId="0" fontId="0" fillId="9" borderId="40" xfId="0" quotePrefix="1" applyFill="1" applyBorder="1" applyAlignment="1">
      <alignment horizontal="center" vertical="center" wrapText="1"/>
    </xf>
    <xf numFmtId="0" fontId="0" fillId="9" borderId="40" xfId="0" applyFill="1" applyBorder="1" applyAlignment="1">
      <alignment horizontal="center" vertical="center" wrapText="1"/>
    </xf>
    <xf numFmtId="165" fontId="19" fillId="0" borderId="8" xfId="0" applyNumberFormat="1" applyFont="1" applyBorder="1" applyAlignment="1">
      <alignment horizontal="center"/>
    </xf>
    <xf numFmtId="165" fontId="19" fillId="0" borderId="11" xfId="0" applyNumberFormat="1" applyFont="1" applyBorder="1" applyAlignment="1">
      <alignment horizontal="center"/>
    </xf>
    <xf numFmtId="165" fontId="7" fillId="3" borderId="0" xfId="0" applyNumberFormat="1" applyFont="1" applyFill="1" applyAlignment="1">
      <alignment horizontal="center"/>
    </xf>
    <xf numFmtId="165" fontId="7" fillId="6" borderId="0" xfId="0" applyNumberFormat="1" applyFont="1" applyFill="1" applyAlignment="1">
      <alignment horizontal="center"/>
    </xf>
    <xf numFmtId="165" fontId="7" fillId="0" borderId="0" xfId="0" applyNumberFormat="1" applyFont="1" applyAlignment="1">
      <alignment horizontal="center"/>
    </xf>
    <xf numFmtId="167" fontId="20" fillId="3" borderId="0" xfId="0" applyNumberFormat="1" applyFont="1" applyFill="1" applyAlignment="1">
      <alignment horizontal="center"/>
    </xf>
    <xf numFmtId="167" fontId="20" fillId="6" borderId="0" xfId="0" applyNumberFormat="1" applyFont="1" applyFill="1" applyAlignment="1">
      <alignment horizontal="center"/>
    </xf>
    <xf numFmtId="167" fontId="20" fillId="0" borderId="0" xfId="0" applyNumberFormat="1" applyFont="1" applyAlignment="1">
      <alignment horizontal="center"/>
    </xf>
    <xf numFmtId="0" fontId="0" fillId="3" borderId="0" xfId="0" applyFill="1" applyBorder="1"/>
    <xf numFmtId="0" fontId="3" fillId="0" borderId="5" xfId="0" quotePrefix="1" applyFont="1" applyBorder="1" applyAlignment="1">
      <alignment horizontal="center"/>
    </xf>
    <xf numFmtId="165" fontId="6" fillId="0" borderId="0" xfId="0" applyNumberFormat="1" applyFont="1" applyFill="1" applyBorder="1" applyAlignment="1">
      <alignment horizontal="center" vertical="center" wrapText="1"/>
    </xf>
    <xf numFmtId="164" fontId="0" fillId="0" borderId="0" xfId="0" applyNumberFormat="1" applyFill="1" applyBorder="1" applyAlignment="1">
      <alignment horizontal="center"/>
    </xf>
    <xf numFmtId="164" fontId="0" fillId="0" borderId="0" xfId="0" applyNumberFormat="1" applyFill="1" applyBorder="1" applyAlignment="1">
      <alignment horizontal="center" vertical="center" wrapText="1"/>
    </xf>
    <xf numFmtId="0" fontId="0" fillId="0" borderId="0" xfId="0" applyFill="1" applyBorder="1" applyAlignment="1">
      <alignment horizontal="center" vertical="center" wrapText="1"/>
    </xf>
    <xf numFmtId="0" fontId="1" fillId="0" borderId="0" xfId="0" quotePrefix="1" applyFont="1" applyAlignment="1">
      <alignment horizontal="center"/>
    </xf>
    <xf numFmtId="0" fontId="10" fillId="0" borderId="0" xfId="0" quotePrefix="1" applyFont="1" applyFill="1" applyBorder="1" applyAlignment="1">
      <alignment horizontal="center"/>
    </xf>
    <xf numFmtId="2" fontId="8" fillId="3" borderId="15" xfId="0" applyNumberFormat="1" applyFont="1" applyFill="1" applyBorder="1" applyAlignment="1">
      <alignment horizontal="center" vertical="center" wrapText="1"/>
    </xf>
    <xf numFmtId="2" fontId="8" fillId="6" borderId="15" xfId="0" applyNumberFormat="1" applyFont="1" applyFill="1" applyBorder="1" applyAlignment="1">
      <alignment horizontal="center" vertical="center" wrapText="1"/>
    </xf>
    <xf numFmtId="2" fontId="8" fillId="0" borderId="15" xfId="0" applyNumberFormat="1" applyFont="1" applyBorder="1" applyAlignment="1">
      <alignment horizontal="center" vertical="center" wrapText="1"/>
    </xf>
    <xf numFmtId="167" fontId="22" fillId="3" borderId="15" xfId="0" applyNumberFormat="1" applyFont="1" applyFill="1" applyBorder="1" applyAlignment="1">
      <alignment horizontal="center" vertical="center" wrapText="1"/>
    </xf>
    <xf numFmtId="167" fontId="22" fillId="6" borderId="15" xfId="0" applyNumberFormat="1" applyFont="1" applyFill="1" applyBorder="1" applyAlignment="1">
      <alignment horizontal="center" vertical="center" wrapText="1"/>
    </xf>
    <xf numFmtId="167" fontId="22" fillId="0" borderId="15" xfId="0" applyNumberFormat="1" applyFont="1" applyBorder="1" applyAlignment="1">
      <alignment horizontal="center" vertical="center" wrapText="1"/>
    </xf>
    <xf numFmtId="0" fontId="23" fillId="0" borderId="0" xfId="0" applyFont="1" applyFill="1" applyBorder="1" applyAlignment="1">
      <alignment horizontal="center"/>
    </xf>
    <xf numFmtId="0" fontId="7" fillId="0" borderId="0" xfId="0" quotePrefix="1" applyFont="1" applyAlignment="1">
      <alignment horizontal="center"/>
    </xf>
    <xf numFmtId="0" fontId="20" fillId="0" borderId="0" xfId="0" quotePrefix="1" applyFont="1" applyAlignment="1">
      <alignment horizontal="right"/>
    </xf>
    <xf numFmtId="2" fontId="7" fillId="3" borderId="0" xfId="0" applyNumberFormat="1" applyFont="1" applyFill="1" applyAlignment="1">
      <alignment horizontal="center"/>
    </xf>
    <xf numFmtId="2" fontId="7" fillId="6" borderId="0" xfId="0" applyNumberFormat="1" applyFont="1" applyFill="1" applyAlignment="1">
      <alignment horizontal="center"/>
    </xf>
    <xf numFmtId="2" fontId="7" fillId="0" borderId="0" xfId="0" applyNumberFormat="1" applyFont="1" applyAlignment="1">
      <alignment horizontal="center"/>
    </xf>
    <xf numFmtId="165" fontId="8" fillId="3" borderId="14" xfId="0" applyNumberFormat="1" applyFont="1" applyFill="1" applyBorder="1" applyAlignment="1">
      <alignment horizontal="center" vertical="center" wrapText="1"/>
    </xf>
    <xf numFmtId="165" fontId="8" fillId="6" borderId="14" xfId="0" applyNumberFormat="1" applyFont="1" applyFill="1" applyBorder="1" applyAlignment="1">
      <alignment horizontal="center" vertical="center" wrapText="1"/>
    </xf>
    <xf numFmtId="165" fontId="8" fillId="0" borderId="14" xfId="0" applyNumberFormat="1" applyFont="1" applyBorder="1" applyAlignment="1">
      <alignment horizontal="center" vertical="center" wrapText="1"/>
    </xf>
    <xf numFmtId="0" fontId="3" fillId="0" borderId="0" xfId="0" quotePrefix="1" applyFont="1" applyBorder="1" applyAlignment="1">
      <alignment horizontal="center"/>
    </xf>
    <xf numFmtId="0" fontId="17" fillId="3" borderId="0" xfId="0" quotePrefix="1" applyFont="1" applyFill="1" applyBorder="1" applyAlignment="1">
      <alignment horizontal="left"/>
    </xf>
    <xf numFmtId="0" fontId="7" fillId="9" borderId="0" xfId="0" applyFont="1" applyFill="1" applyBorder="1" applyAlignment="1">
      <alignment horizontal="center" vertical="center" wrapText="1"/>
    </xf>
    <xf numFmtId="164" fontId="0" fillId="0" borderId="0" xfId="0" applyNumberFormat="1" applyAlignment="1">
      <alignment horizontal="center"/>
    </xf>
    <xf numFmtId="0" fontId="0" fillId="9" borderId="32" xfId="0" applyFill="1" applyBorder="1" applyAlignment="1">
      <alignment horizontal="center" vertical="center" wrapText="1"/>
    </xf>
    <xf numFmtId="0" fontId="18" fillId="9" borderId="32" xfId="0" quotePrefix="1" applyFont="1" applyFill="1" applyBorder="1" applyAlignment="1">
      <alignment horizontal="center" vertical="center" wrapText="1"/>
    </xf>
    <xf numFmtId="0" fontId="0" fillId="9" borderId="28" xfId="0" quotePrefix="1" applyFill="1" applyBorder="1" applyAlignment="1">
      <alignment horizontal="center" vertical="center" wrapText="1"/>
    </xf>
    <xf numFmtId="0" fontId="18" fillId="9" borderId="28" xfId="0" quotePrefix="1" applyFont="1" applyFill="1" applyBorder="1" applyAlignment="1">
      <alignment horizontal="center" vertical="center" wrapText="1"/>
    </xf>
    <xf numFmtId="164" fontId="0" fillId="10" borderId="28" xfId="0" applyNumberFormat="1" applyFill="1" applyBorder="1" applyAlignment="1">
      <alignment horizontal="center" vertical="center" wrapText="1"/>
    </xf>
    <xf numFmtId="164" fontId="0" fillId="7" borderId="28" xfId="0" applyNumberFormat="1" applyFill="1" applyBorder="1" applyAlignment="1">
      <alignment horizontal="center" vertical="center" wrapText="1"/>
    </xf>
    <xf numFmtId="164" fontId="0" fillId="0" borderId="28" xfId="0" applyNumberFormat="1" applyBorder="1" applyAlignment="1">
      <alignment horizontal="center" vertical="center" wrapText="1"/>
    </xf>
    <xf numFmtId="164" fontId="0" fillId="7" borderId="42" xfId="0" applyNumberFormat="1" applyFill="1" applyBorder="1" applyAlignment="1">
      <alignment horizontal="center" vertical="center" wrapText="1"/>
    </xf>
    <xf numFmtId="0" fontId="14" fillId="9" borderId="41" xfId="0" applyFont="1" applyFill="1" applyBorder="1" applyAlignment="1">
      <alignment horizontal="center" vertical="center" wrapText="1"/>
    </xf>
    <xf numFmtId="0" fontId="14" fillId="9" borderId="33" xfId="0" quotePrefix="1" applyFont="1" applyFill="1" applyBorder="1" applyAlignment="1">
      <alignment horizontal="center" vertical="center" wrapText="1"/>
    </xf>
    <xf numFmtId="0" fontId="24" fillId="9" borderId="33" xfId="0" quotePrefix="1" applyFont="1" applyFill="1" applyBorder="1" applyAlignment="1">
      <alignment horizontal="center" vertical="center" wrapText="1"/>
    </xf>
    <xf numFmtId="164" fontId="0" fillId="10" borderId="33" xfId="0" applyNumberFormat="1" applyFill="1" applyBorder="1" applyAlignment="1">
      <alignment horizontal="center" vertical="center" wrapText="1"/>
    </xf>
    <xf numFmtId="164" fontId="0" fillId="7" borderId="33" xfId="0" applyNumberFormat="1" applyFill="1" applyBorder="1" applyAlignment="1">
      <alignment horizontal="center" vertical="center" wrapText="1"/>
    </xf>
    <xf numFmtId="164" fontId="0" fillId="0" borderId="33" xfId="0" applyNumberFormat="1" applyBorder="1" applyAlignment="1">
      <alignment horizontal="center" vertical="center" wrapText="1"/>
    </xf>
    <xf numFmtId="0" fontId="7" fillId="9" borderId="43" xfId="0" applyFont="1" applyFill="1" applyBorder="1" applyAlignment="1">
      <alignment horizontal="center" vertical="center" wrapText="1"/>
    </xf>
    <xf numFmtId="0" fontId="12" fillId="9" borderId="18" xfId="0" applyFont="1" applyFill="1" applyBorder="1" applyAlignment="1">
      <alignment horizontal="center" vertical="center" wrapText="1"/>
    </xf>
    <xf numFmtId="0" fontId="12" fillId="9" borderId="28" xfId="0" applyFont="1" applyFill="1" applyBorder="1" applyAlignment="1">
      <alignment horizontal="center" vertical="center" wrapText="1"/>
    </xf>
    <xf numFmtId="0" fontId="12" fillId="9" borderId="28" xfId="0" quotePrefix="1" applyFont="1" applyFill="1" applyBorder="1" applyAlignment="1">
      <alignment horizontal="center" vertical="center" wrapText="1"/>
    </xf>
    <xf numFmtId="0" fontId="7" fillId="9" borderId="44"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0" fillId="9" borderId="41" xfId="0" applyFill="1" applyBorder="1" applyAlignment="1">
      <alignment horizontal="center" vertical="center" wrapText="1"/>
    </xf>
    <xf numFmtId="0" fontId="18" fillId="9" borderId="33" xfId="0" quotePrefix="1"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 fillId="3" borderId="0" xfId="0" quotePrefix="1" applyFont="1" applyFill="1" applyBorder="1" applyAlignment="1">
      <alignment horizontal="left"/>
    </xf>
    <xf numFmtId="0" fontId="17" fillId="0" borderId="0" xfId="0" quotePrefix="1" applyFont="1" applyFill="1" applyBorder="1" applyAlignment="1">
      <alignment horizontal="left"/>
    </xf>
    <xf numFmtId="0" fontId="10" fillId="0" borderId="0" xfId="0" quotePrefix="1" applyFont="1" applyAlignment="1">
      <alignment horizontal="left"/>
    </xf>
    <xf numFmtId="0" fontId="0" fillId="0" borderId="0" xfId="0" applyAlignment="1">
      <alignment horizontal="right"/>
    </xf>
    <xf numFmtId="0" fontId="0" fillId="0" borderId="0" xfId="0" quotePrefix="1" applyAlignment="1">
      <alignment horizontal="right"/>
    </xf>
    <xf numFmtId="0" fontId="1" fillId="0" borderId="0" xfId="0" applyFont="1"/>
    <xf numFmtId="0" fontId="0" fillId="0" borderId="0" xfId="0" quotePrefix="1" applyAlignment="1">
      <alignment horizontal="center"/>
    </xf>
    <xf numFmtId="1" fontId="7" fillId="3" borderId="0" xfId="0" applyNumberFormat="1" applyFont="1" applyFill="1" applyAlignment="1">
      <alignment horizontal="center"/>
    </xf>
    <xf numFmtId="1" fontId="7" fillId="6" borderId="0" xfId="0" applyNumberFormat="1" applyFont="1" applyFill="1" applyAlignment="1">
      <alignment horizontal="center"/>
    </xf>
    <xf numFmtId="1" fontId="7" fillId="0" borderId="0" xfId="0" applyNumberFormat="1" applyFont="1" applyAlignment="1">
      <alignment horizontal="center"/>
    </xf>
    <xf numFmtId="2" fontId="8" fillId="3" borderId="21" xfId="0" applyNumberFormat="1" applyFont="1" applyFill="1" applyBorder="1" applyAlignment="1">
      <alignment horizontal="center" vertical="center" wrapText="1"/>
    </xf>
    <xf numFmtId="2" fontId="8" fillId="6" borderId="21" xfId="0" applyNumberFormat="1" applyFont="1" applyFill="1" applyBorder="1" applyAlignment="1">
      <alignment horizontal="center" vertical="center" wrapText="1"/>
    </xf>
    <xf numFmtId="2" fontId="8" fillId="0" borderId="21" xfId="0" applyNumberFormat="1" applyFont="1" applyBorder="1" applyAlignment="1">
      <alignment horizontal="center" vertical="center" wrapText="1"/>
    </xf>
    <xf numFmtId="2" fontId="8" fillId="0" borderId="21" xfId="0" applyNumberFormat="1" applyFont="1" applyFill="1" applyBorder="1" applyAlignment="1">
      <alignment horizontal="center" vertical="center" wrapText="1"/>
    </xf>
    <xf numFmtId="164" fontId="0" fillId="10" borderId="34" xfId="0" applyNumberFormat="1" applyFill="1" applyBorder="1" applyAlignment="1">
      <alignment horizontal="center" vertical="center" wrapText="1"/>
    </xf>
    <xf numFmtId="164" fontId="0" fillId="7" borderId="34" xfId="0" applyNumberFormat="1" applyFill="1" applyBorder="1" applyAlignment="1">
      <alignment horizontal="center" vertical="center" wrapText="1"/>
    </xf>
    <xf numFmtId="164" fontId="0" fillId="0" borderId="34" xfId="0" applyNumberFormat="1" applyBorder="1" applyAlignment="1">
      <alignment horizontal="center" vertical="center" wrapText="1"/>
    </xf>
    <xf numFmtId="2" fontId="0" fillId="10" borderId="28" xfId="0" applyNumberFormat="1" applyFill="1" applyBorder="1" applyAlignment="1">
      <alignment horizontal="center" vertical="center" wrapText="1"/>
    </xf>
    <xf numFmtId="2" fontId="0" fillId="7" borderId="28" xfId="0" applyNumberFormat="1" applyFill="1" applyBorder="1" applyAlignment="1">
      <alignment horizontal="center" vertical="center" wrapText="1"/>
    </xf>
    <xf numFmtId="2" fontId="0" fillId="0" borderId="28" xfId="0" applyNumberFormat="1" applyBorder="1" applyAlignment="1">
      <alignment horizontal="center" vertical="center" wrapText="1"/>
    </xf>
    <xf numFmtId="2" fontId="0" fillId="7" borderId="42" xfId="0" applyNumberFormat="1" applyFill="1" applyBorder="1" applyAlignment="1">
      <alignment horizontal="center" vertical="center" wrapText="1"/>
    </xf>
    <xf numFmtId="1" fontId="0" fillId="10" borderId="28" xfId="0" applyNumberFormat="1" applyFill="1" applyBorder="1" applyAlignment="1">
      <alignment horizontal="center" vertical="center" wrapText="1"/>
    </xf>
    <xf numFmtId="1" fontId="0" fillId="7" borderId="28" xfId="0" applyNumberFormat="1" applyFill="1" applyBorder="1" applyAlignment="1">
      <alignment horizontal="center" vertical="center" wrapText="1"/>
    </xf>
    <xf numFmtId="1" fontId="0" fillId="0" borderId="28" xfId="0" applyNumberFormat="1" applyBorder="1" applyAlignment="1">
      <alignment horizontal="center" vertical="center" wrapText="1"/>
    </xf>
    <xf numFmtId="1" fontId="0" fillId="7" borderId="42" xfId="0" applyNumberFormat="1" applyFill="1" applyBorder="1" applyAlignment="1">
      <alignment horizontal="center" vertical="center" wrapText="1"/>
    </xf>
    <xf numFmtId="166" fontId="8" fillId="3" borderId="19" xfId="0" applyNumberFormat="1" applyFont="1" applyFill="1" applyBorder="1" applyAlignment="1">
      <alignment horizontal="center" vertical="center" wrapText="1"/>
    </xf>
    <xf numFmtId="166" fontId="8" fillId="6" borderId="19" xfId="0" applyNumberFormat="1" applyFont="1" applyFill="1" applyBorder="1" applyAlignment="1">
      <alignment horizontal="center" vertical="center" wrapText="1"/>
    </xf>
    <xf numFmtId="166" fontId="8" fillId="0" borderId="19" xfId="0" applyNumberFormat="1" applyFont="1" applyBorder="1" applyAlignment="1">
      <alignment horizontal="center" vertical="center" wrapText="1"/>
    </xf>
    <xf numFmtId="166" fontId="8" fillId="6" borderId="20" xfId="0" applyNumberFormat="1" applyFont="1" applyFill="1" applyBorder="1" applyAlignment="1">
      <alignment horizontal="center" vertical="center" wrapText="1"/>
    </xf>
    <xf numFmtId="2" fontId="8" fillId="3" borderId="19" xfId="0" applyNumberFormat="1" applyFont="1" applyFill="1" applyBorder="1" applyAlignment="1">
      <alignment horizontal="center" vertical="center" wrapText="1"/>
    </xf>
    <xf numFmtId="2" fontId="8" fillId="6" borderId="19" xfId="0" applyNumberFormat="1" applyFont="1" applyFill="1" applyBorder="1" applyAlignment="1">
      <alignment horizontal="center" vertical="center" wrapText="1"/>
    </xf>
    <xf numFmtId="2" fontId="8" fillId="0" borderId="19" xfId="0" applyNumberFormat="1" applyFont="1" applyBorder="1" applyAlignment="1">
      <alignment horizontal="center" vertical="center" wrapText="1"/>
    </xf>
    <xf numFmtId="2" fontId="8" fillId="6" borderId="20" xfId="0" applyNumberFormat="1"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0" borderId="22" xfId="0" applyFont="1" applyBorder="1" applyAlignment="1">
      <alignment horizontal="center" vertical="center" wrapText="1"/>
    </xf>
    <xf numFmtId="1" fontId="2" fillId="3" borderId="0" xfId="0" applyNumberFormat="1" applyFont="1" applyFill="1" applyAlignment="1">
      <alignment horizontal="center"/>
    </xf>
    <xf numFmtId="1" fontId="2" fillId="6" borderId="0" xfId="0" applyNumberFormat="1" applyFont="1" applyFill="1" applyAlignment="1">
      <alignment horizontal="center"/>
    </xf>
    <xf numFmtId="1" fontId="2" fillId="0" borderId="0" xfId="0" applyNumberFormat="1" applyFont="1" applyAlignment="1">
      <alignment horizontal="center"/>
    </xf>
    <xf numFmtId="0" fontId="2" fillId="3" borderId="0" xfId="0" applyFont="1" applyFill="1" applyAlignment="1">
      <alignment horizontal="center"/>
    </xf>
    <xf numFmtId="0" fontId="2" fillId="6" borderId="0" xfId="0" applyFont="1" applyFill="1" applyAlignment="1">
      <alignment horizontal="center"/>
    </xf>
    <xf numFmtId="165" fontId="11" fillId="0" borderId="16" xfId="0" applyNumberFormat="1" applyFont="1" applyBorder="1" applyAlignment="1">
      <alignment horizontal="center" vertical="center" wrapText="1"/>
    </xf>
    <xf numFmtId="165" fontId="11" fillId="7" borderId="16" xfId="0" applyNumberFormat="1" applyFont="1" applyFill="1" applyBorder="1" applyAlignment="1">
      <alignment horizontal="center" vertical="center" wrapText="1"/>
    </xf>
    <xf numFmtId="0" fontId="27" fillId="0" borderId="0" xfId="0" applyFont="1"/>
    <xf numFmtId="0" fontId="18" fillId="9" borderId="42" xfId="0" quotePrefix="1" applyFont="1" applyFill="1" applyBorder="1" applyAlignment="1">
      <alignment horizontal="center" vertical="center" wrapText="1"/>
    </xf>
    <xf numFmtId="0" fontId="20" fillId="9" borderId="34" xfId="0" applyFont="1" applyFill="1" applyBorder="1" applyAlignment="1">
      <alignment horizontal="center" vertical="center" wrapText="1"/>
    </xf>
    <xf numFmtId="165" fontId="9" fillId="0" borderId="0" xfId="0" applyNumberFormat="1" applyFont="1" applyAlignment="1">
      <alignment horizontal="center"/>
    </xf>
    <xf numFmtId="0" fontId="0" fillId="0" borderId="4" xfId="0" applyBorder="1" applyAlignment="1">
      <alignment horizontal="center"/>
    </xf>
    <xf numFmtId="0" fontId="3" fillId="4" borderId="45" xfId="0" applyFont="1" applyFill="1" applyBorder="1"/>
    <xf numFmtId="0" fontId="0" fillId="0" borderId="46" xfId="0" applyBorder="1"/>
    <xf numFmtId="0" fontId="0" fillId="0" borderId="47" xfId="0" applyBorder="1"/>
    <xf numFmtId="0" fontId="3" fillId="0" borderId="48" xfId="0" applyFont="1" applyBorder="1"/>
    <xf numFmtId="0" fontId="2" fillId="0" borderId="49" xfId="0" applyFont="1" applyBorder="1" applyAlignment="1">
      <alignment horizontal="center"/>
    </xf>
    <xf numFmtId="0" fontId="3" fillId="0" borderId="50" xfId="0" applyFont="1" applyBorder="1"/>
    <xf numFmtId="0" fontId="4" fillId="0" borderId="51" xfId="0" applyFont="1" applyBorder="1"/>
    <xf numFmtId="0" fontId="2" fillId="0" borderId="52" xfId="0" applyFont="1" applyBorder="1" applyAlignment="1">
      <alignment horizontal="center"/>
    </xf>
    <xf numFmtId="2" fontId="28" fillId="0" borderId="0" xfId="0" applyNumberFormat="1" applyFont="1" applyAlignment="1">
      <alignment horizontal="center"/>
    </xf>
    <xf numFmtId="0" fontId="1" fillId="0" borderId="0" xfId="0" applyFont="1" applyAlignment="1">
      <alignment horizontal="center"/>
    </xf>
    <xf numFmtId="0" fontId="30" fillId="0" borderId="0" xfId="0" applyFont="1" applyFill="1" applyBorder="1" applyAlignment="1">
      <alignment horizontal="center" vertical="center" wrapText="1"/>
    </xf>
    <xf numFmtId="0" fontId="9" fillId="0" borderId="0" xfId="0" quotePrefix="1" applyFont="1" applyAlignment="1">
      <alignment horizontal="left"/>
    </xf>
    <xf numFmtId="0" fontId="5" fillId="0" borderId="0" xfId="0" quotePrefix="1" applyFont="1" applyFill="1" applyBorder="1" applyAlignment="1">
      <alignment horizontal="left"/>
    </xf>
    <xf numFmtId="0" fontId="7" fillId="0" borderId="12" xfId="0" applyFont="1" applyBorder="1"/>
    <xf numFmtId="0" fontId="7" fillId="0" borderId="7" xfId="0" applyFont="1" applyBorder="1"/>
    <xf numFmtId="0" fontId="7" fillId="0" borderId="9" xfId="0" applyFont="1" applyBorder="1"/>
    <xf numFmtId="164" fontId="0" fillId="0" borderId="5" xfId="0" applyNumberFormat="1" applyBorder="1"/>
    <xf numFmtId="164" fontId="0" fillId="0" borderId="0" xfId="0" applyNumberFormat="1" applyBorder="1"/>
    <xf numFmtId="0" fontId="3" fillId="0" borderId="7" xfId="0" quotePrefix="1" applyFont="1" applyBorder="1" applyAlignment="1">
      <alignment horizontal="left"/>
    </xf>
    <xf numFmtId="0" fontId="3" fillId="0" borderId="0" xfId="0" quotePrefix="1" applyFont="1" applyBorder="1" applyAlignment="1">
      <alignment horizontal="left"/>
    </xf>
    <xf numFmtId="0" fontId="3" fillId="0" borderId="0" xfId="0" applyFont="1" applyBorder="1"/>
    <xf numFmtId="0" fontId="17" fillId="0" borderId="0" xfId="0" quotePrefix="1" applyFont="1" applyBorder="1" applyAlignment="1">
      <alignment horizontal="left"/>
    </xf>
    <xf numFmtId="0" fontId="0" fillId="0" borderId="0" xfId="0" applyBorder="1" applyAlignment="1">
      <alignment horizontal="right"/>
    </xf>
    <xf numFmtId="0" fontId="17" fillId="0" borderId="0" xfId="0" applyFont="1" applyBorder="1"/>
    <xf numFmtId="0" fontId="25" fillId="0" borderId="0" xfId="0" applyFont="1" applyBorder="1"/>
    <xf numFmtId="0" fontId="2" fillId="0" borderId="0" xfId="0" quotePrefix="1" applyFont="1" applyBorder="1" applyAlignment="1">
      <alignment horizontal="left"/>
    </xf>
    <xf numFmtId="0" fontId="26" fillId="0" borderId="0" xfId="0" quotePrefix="1" applyFont="1" applyFill="1" applyBorder="1" applyAlignment="1">
      <alignment horizontal="left"/>
    </xf>
    <xf numFmtId="0" fontId="21" fillId="0" borderId="0" xfId="0" applyFont="1"/>
    <xf numFmtId="0" fontId="5" fillId="9" borderId="36"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5" fillId="9" borderId="38" xfId="0" applyFont="1" applyFill="1" applyBorder="1" applyAlignment="1">
      <alignment horizontal="center" vertical="center" wrapText="1"/>
    </xf>
    <xf numFmtId="2" fontId="29" fillId="0" borderId="0" xfId="0" applyNumberFormat="1" applyFont="1" applyAlignment="1">
      <alignment horizontal="center"/>
    </xf>
    <xf numFmtId="166" fontId="9" fillId="0" borderId="0" xfId="0" applyNumberFormat="1" applyFont="1" applyAlignment="1">
      <alignment horizontal="center"/>
    </xf>
    <xf numFmtId="166" fontId="9" fillId="3" borderId="0" xfId="0" applyNumberFormat="1" applyFont="1" applyFill="1" applyAlignment="1">
      <alignment horizontal="center"/>
    </xf>
    <xf numFmtId="166" fontId="9" fillId="6" borderId="0" xfId="0" applyNumberFormat="1" applyFont="1" applyFill="1" applyAlignment="1">
      <alignment horizontal="center"/>
    </xf>
    <xf numFmtId="0" fontId="21" fillId="9" borderId="33" xfId="0" applyFont="1" applyFill="1" applyBorder="1" applyAlignment="1">
      <alignment horizontal="center" vertical="center" wrapText="1"/>
    </xf>
    <xf numFmtId="0" fontId="21" fillId="9" borderId="24" xfId="0" applyFont="1" applyFill="1" applyBorder="1" applyAlignment="1">
      <alignment horizontal="center" vertical="center" wrapText="1"/>
    </xf>
    <xf numFmtId="0" fontId="21" fillId="9" borderId="22" xfId="0" quotePrefix="1" applyFont="1" applyFill="1" applyBorder="1" applyAlignment="1">
      <alignment horizontal="center" vertical="center" wrapText="1"/>
    </xf>
    <xf numFmtId="166" fontId="12" fillId="10" borderId="28" xfId="0" applyNumberFormat="1" applyFont="1" applyFill="1" applyBorder="1" applyAlignment="1">
      <alignment horizontal="center" vertical="center" wrapText="1"/>
    </xf>
    <xf numFmtId="166" fontId="12" fillId="7" borderId="28" xfId="0" applyNumberFormat="1" applyFont="1" applyFill="1" applyBorder="1" applyAlignment="1">
      <alignment horizontal="center" vertical="center" wrapText="1"/>
    </xf>
    <xf numFmtId="166" fontId="12" fillId="0" borderId="28" xfId="0" applyNumberFormat="1" applyFont="1" applyBorder="1" applyAlignment="1">
      <alignment horizontal="center" vertical="center" wrapText="1"/>
    </xf>
    <xf numFmtId="166" fontId="12" fillId="7" borderId="42" xfId="0" applyNumberFormat="1" applyFont="1" applyFill="1" applyBorder="1" applyAlignment="1">
      <alignment horizontal="center" vertical="center" wrapText="1"/>
    </xf>
    <xf numFmtId="164" fontId="0" fillId="0" borderId="0" xfId="0" quotePrefix="1" applyNumberFormat="1" applyBorder="1" applyAlignment="1">
      <alignment horizontal="right"/>
    </xf>
    <xf numFmtId="0" fontId="0" fillId="0" borderId="8" xfId="0" applyBorder="1" applyAlignment="1">
      <alignment horizontal="left"/>
    </xf>
    <xf numFmtId="0" fontId="0" fillId="0" borderId="7" xfId="0" quotePrefix="1" applyBorder="1" applyAlignment="1">
      <alignment horizontal="right"/>
    </xf>
    <xf numFmtId="0" fontId="27" fillId="4" borderId="4" xfId="0" quotePrefix="1" applyFont="1" applyFill="1" applyBorder="1" applyAlignment="1">
      <alignment horizontal="center"/>
    </xf>
    <xf numFmtId="0" fontId="27" fillId="4" borderId="4" xfId="0" applyFont="1" applyFill="1" applyBorder="1" applyAlignment="1">
      <alignment horizontal="center"/>
    </xf>
    <xf numFmtId="0" fontId="3" fillId="4" borderId="3" xfId="0" applyFont="1" applyFill="1" applyBorder="1" applyAlignment="1">
      <alignment horizontal="center"/>
    </xf>
    <xf numFmtId="0" fontId="10" fillId="4" borderId="1" xfId="0" quotePrefix="1" applyFont="1" applyFill="1" applyBorder="1" applyAlignment="1">
      <alignment horizontal="center"/>
    </xf>
    <xf numFmtId="0" fontId="10" fillId="4" borderId="2" xfId="0" quotePrefix="1" applyFont="1" applyFill="1" applyBorder="1" applyAlignment="1">
      <alignment horizontal="left"/>
    </xf>
    <xf numFmtId="0" fontId="31" fillId="0" borderId="0" xfId="0" quotePrefix="1" applyFont="1" applyFill="1" applyBorder="1" applyAlignment="1">
      <alignment horizontal="left"/>
    </xf>
    <xf numFmtId="0" fontId="31" fillId="0" borderId="0" xfId="0" applyFont="1"/>
    <xf numFmtId="0" fontId="31" fillId="0" borderId="0" xfId="0" quotePrefix="1" applyFont="1" applyAlignment="1">
      <alignment horizontal="center"/>
    </xf>
    <xf numFmtId="0" fontId="7" fillId="9" borderId="33" xfId="0" quotePrefix="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18" fillId="9" borderId="0" xfId="0" quotePrefix="1" applyFont="1" applyFill="1" applyBorder="1" applyAlignment="1">
      <alignment horizontal="center" vertical="center" wrapText="1"/>
    </xf>
    <xf numFmtId="0" fontId="32" fillId="9" borderId="34" xfId="0" quotePrefix="1" applyFont="1" applyFill="1" applyBorder="1" applyAlignment="1">
      <alignment horizontal="center" vertical="center" wrapText="1"/>
    </xf>
    <xf numFmtId="0" fontId="15" fillId="9" borderId="33" xfId="0" applyFont="1" applyFill="1" applyBorder="1" applyAlignment="1">
      <alignment horizontal="center" vertical="center" wrapText="1"/>
    </xf>
    <xf numFmtId="0" fontId="18" fillId="9" borderId="38" xfId="0" quotePrefix="1" applyFont="1" applyFill="1" applyBorder="1" applyAlignment="1">
      <alignment horizontal="center" vertical="center" wrapText="1"/>
    </xf>
    <xf numFmtId="0" fontId="20" fillId="0" borderId="0" xfId="0" applyFont="1"/>
    <xf numFmtId="0" fontId="7" fillId="10" borderId="53"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7" fillId="0" borderId="22" xfId="0" applyFont="1" applyBorder="1" applyAlignment="1">
      <alignment horizontal="center" vertical="center" wrapText="1"/>
    </xf>
    <xf numFmtId="0" fontId="33" fillId="0" borderId="0" xfId="0" applyFont="1"/>
    <xf numFmtId="0" fontId="3" fillId="3" borderId="0" xfId="0" applyFont="1" applyFill="1" applyBorder="1"/>
    <xf numFmtId="164" fontId="0" fillId="0" borderId="0" xfId="0" quotePrefix="1" applyNumberFormat="1" applyFill="1" applyBorder="1" applyAlignment="1">
      <alignment horizontal="center" vertical="center" wrapText="1"/>
    </xf>
    <xf numFmtId="0" fontId="31" fillId="0" borderId="0" xfId="0" applyFont="1" applyFill="1" applyBorder="1"/>
    <xf numFmtId="1" fontId="8" fillId="0" borderId="0" xfId="0" applyNumberFormat="1" applyFont="1" applyFill="1" applyBorder="1" applyAlignment="1">
      <alignment horizontal="center" vertical="center" wrapText="1"/>
    </xf>
    <xf numFmtId="164" fontId="8" fillId="0" borderId="0" xfId="0" applyNumberFormat="1" applyFont="1" applyFill="1" applyBorder="1" applyAlignment="1">
      <alignment horizontal="center" vertical="center" wrapText="1"/>
    </xf>
    <xf numFmtId="166" fontId="8" fillId="0" borderId="0" xfId="0" applyNumberFormat="1" applyFont="1" applyFill="1" applyBorder="1" applyAlignment="1">
      <alignment horizontal="center" vertical="center" wrapText="1"/>
    </xf>
    <xf numFmtId="165" fontId="0" fillId="0" borderId="0" xfId="0" applyNumberFormat="1" applyFill="1" applyBorder="1" applyAlignment="1">
      <alignment horizontal="center"/>
    </xf>
    <xf numFmtId="167" fontId="22" fillId="0" borderId="0" xfId="0" applyNumberFormat="1" applyFont="1" applyFill="1" applyBorder="1" applyAlignment="1">
      <alignment horizontal="center" vertical="center" wrapText="1"/>
    </xf>
    <xf numFmtId="164" fontId="8" fillId="3" borderId="54" xfId="0" applyNumberFormat="1" applyFont="1" applyFill="1" applyBorder="1" applyAlignment="1">
      <alignment horizontal="center" vertical="center" wrapText="1"/>
    </xf>
    <xf numFmtId="0" fontId="17" fillId="0" borderId="0" xfId="0" applyFont="1" applyFill="1" applyBorder="1" applyAlignment="1">
      <alignment horizontal="left"/>
    </xf>
    <xf numFmtId="164" fontId="10" fillId="0" borderId="0" xfId="0" applyNumberFormat="1" applyFont="1" applyBorder="1"/>
    <xf numFmtId="0" fontId="13" fillId="0" borderId="0" xfId="0" quotePrefix="1" applyFont="1" applyAlignment="1">
      <alignment horizontal="left"/>
    </xf>
    <xf numFmtId="0" fontId="7" fillId="0" borderId="0" xfId="0" applyFont="1"/>
    <xf numFmtId="0" fontId="17" fillId="0" borderId="0" xfId="0" quotePrefix="1" applyFont="1" applyAlignment="1">
      <alignment horizontal="left"/>
    </xf>
    <xf numFmtId="164" fontId="0" fillId="0" borderId="0" xfId="0" quotePrefix="1" applyNumberFormat="1" applyBorder="1" applyAlignment="1">
      <alignment horizontal="left"/>
    </xf>
    <xf numFmtId="0" fontId="0" fillId="0" borderId="0" xfId="0" applyFill="1" applyBorder="1" applyAlignment="1">
      <alignment horizontal="right"/>
    </xf>
    <xf numFmtId="0" fontId="5" fillId="0" borderId="12" xfId="0" quotePrefix="1" applyFont="1" applyFill="1" applyBorder="1" applyAlignment="1">
      <alignment horizontal="left"/>
    </xf>
    <xf numFmtId="0" fontId="0" fillId="0" borderId="5" xfId="0" applyFill="1" applyBorder="1"/>
    <xf numFmtId="0" fontId="17" fillId="0" borderId="7" xfId="0" quotePrefix="1" applyFont="1" applyFill="1" applyBorder="1" applyAlignment="1">
      <alignment horizontal="left"/>
    </xf>
    <xf numFmtId="0" fontId="0" fillId="0" borderId="8" xfId="0" applyFill="1" applyBorder="1"/>
    <xf numFmtId="0" fontId="5" fillId="0" borderId="9" xfId="0" quotePrefix="1" applyFont="1" applyFill="1" applyBorder="1" applyAlignment="1">
      <alignment horizontal="left"/>
    </xf>
    <xf numFmtId="0" fontId="0" fillId="0" borderId="6" xfId="0" applyFill="1" applyBorder="1"/>
    <xf numFmtId="0" fontId="5" fillId="8" borderId="30" xfId="0" applyFont="1" applyFill="1" applyBorder="1" applyAlignment="1">
      <alignment horizontal="center"/>
    </xf>
    <xf numFmtId="0" fontId="7" fillId="0" borderId="0" xfId="0" quotePrefix="1" applyFont="1" applyAlignment="1">
      <alignment horizontal="left"/>
    </xf>
    <xf numFmtId="0" fontId="0" fillId="8" borderId="30" xfId="0" applyFont="1" applyFill="1" applyBorder="1" applyAlignment="1">
      <alignment horizontal="center"/>
    </xf>
    <xf numFmtId="0" fontId="12" fillId="0" borderId="0" xfId="0" quotePrefix="1" applyFont="1" applyAlignment="1">
      <alignment horizontal="left"/>
    </xf>
    <xf numFmtId="0" fontId="20" fillId="0" borderId="0" xfId="0" quotePrefix="1" applyFont="1" applyAlignment="1">
      <alignment horizontal="left"/>
    </xf>
    <xf numFmtId="0" fontId="13" fillId="3" borderId="0" xfId="0" applyFont="1" applyFill="1" applyBorder="1"/>
    <xf numFmtId="0" fontId="34" fillId="0" borderId="0" xfId="0" quotePrefix="1" applyFont="1" applyAlignment="1">
      <alignment horizontal="left"/>
    </xf>
    <xf numFmtId="0" fontId="35" fillId="0" borderId="0" xfId="0" applyFont="1"/>
    <xf numFmtId="0" fontId="35" fillId="0" borderId="0" xfId="0" quotePrefix="1" applyFont="1" applyAlignment="1">
      <alignment horizontal="left"/>
    </xf>
    <xf numFmtId="0" fontId="0" fillId="8" borderId="55" xfId="0" quotePrefix="1" applyFill="1" applyBorder="1" applyAlignment="1">
      <alignment horizontal="center"/>
    </xf>
    <xf numFmtId="0" fontId="0" fillId="8" borderId="55" xfId="0" applyFill="1" applyBorder="1" applyAlignment="1">
      <alignment horizontal="center"/>
    </xf>
    <xf numFmtId="0" fontId="0" fillId="0" borderId="55" xfId="0" applyBorder="1" applyAlignment="1">
      <alignment horizontal="center"/>
    </xf>
    <xf numFmtId="0" fontId="0" fillId="0" borderId="55" xfId="0" quotePrefix="1" applyBorder="1" applyAlignment="1">
      <alignment horizontal="center"/>
    </xf>
    <xf numFmtId="0" fontId="7" fillId="0" borderId="55" xfId="0" applyFont="1" applyBorder="1" applyAlignment="1">
      <alignment horizontal="center"/>
    </xf>
    <xf numFmtId="0" fontId="7" fillId="0" borderId="55" xfId="0" quotePrefix="1" applyFont="1" applyBorder="1" applyAlignment="1">
      <alignment horizontal="center"/>
    </xf>
    <xf numFmtId="0" fontId="36" fillId="0" borderId="0" xfId="0" quotePrefix="1" applyFont="1" applyFill="1" applyBorder="1" applyAlignment="1">
      <alignment horizontal="left"/>
    </xf>
    <xf numFmtId="0" fontId="37" fillId="0" borderId="0" xfId="0" quotePrefix="1" applyFont="1" applyFill="1" applyBorder="1" applyAlignment="1">
      <alignment horizontal="left"/>
    </xf>
    <xf numFmtId="0" fontId="38" fillId="9" borderId="33" xfId="0" quotePrefix="1" applyFont="1" applyFill="1" applyBorder="1" applyAlignment="1">
      <alignment horizontal="center" vertical="center" wrapText="1"/>
    </xf>
    <xf numFmtId="0" fontId="0" fillId="0" borderId="56" xfId="0" applyBorder="1"/>
    <xf numFmtId="0" fontId="0" fillId="0" borderId="56" xfId="0" applyBorder="1" applyAlignment="1">
      <alignment horizontal="center"/>
    </xf>
    <xf numFmtId="0" fontId="0" fillId="0" borderId="57" xfId="0" quotePrefix="1" applyBorder="1" applyAlignment="1">
      <alignment horizontal="left"/>
    </xf>
    <xf numFmtId="0" fontId="0" fillId="0" borderId="57" xfId="0" applyBorder="1"/>
    <xf numFmtId="0" fontId="0" fillId="0" borderId="57" xfId="0" quotePrefix="1" applyBorder="1" applyAlignment="1">
      <alignment horizontal="center"/>
    </xf>
    <xf numFmtId="0" fontId="0" fillId="0" borderId="58" xfId="0" applyBorder="1"/>
    <xf numFmtId="2" fontId="0" fillId="9" borderId="33" xfId="0" applyNumberFormat="1" applyFill="1" applyBorder="1" applyAlignment="1">
      <alignment horizontal="center" vertical="center" wrapText="1"/>
    </xf>
    <xf numFmtId="0" fontId="18" fillId="9" borderId="34" xfId="0" applyFont="1" applyFill="1" applyBorder="1" applyAlignment="1">
      <alignment horizontal="center" vertical="center" wrapText="1"/>
    </xf>
    <xf numFmtId="0" fontId="7" fillId="9" borderId="59" xfId="0" applyFont="1" applyFill="1" applyBorder="1" applyAlignment="1">
      <alignment horizontal="center" vertical="center" wrapText="1"/>
    </xf>
    <xf numFmtId="0" fontId="7" fillId="9" borderId="60" xfId="0" quotePrefix="1" applyFont="1" applyFill="1" applyBorder="1" applyAlignment="1">
      <alignment horizontal="center" vertical="center" wrapText="1"/>
    </xf>
    <xf numFmtId="0" fontId="7" fillId="9" borderId="61" xfId="0" applyFont="1" applyFill="1" applyBorder="1" applyAlignment="1">
      <alignment horizontal="center" vertical="center" wrapText="1"/>
    </xf>
    <xf numFmtId="0" fontId="7" fillId="9" borderId="62" xfId="0" quotePrefix="1" applyFont="1" applyFill="1" applyBorder="1" applyAlignment="1">
      <alignment horizontal="center" vertical="center" wrapText="1"/>
    </xf>
    <xf numFmtId="0" fontId="18" fillId="9" borderId="61" xfId="0" applyFont="1" applyFill="1" applyBorder="1" applyAlignment="1">
      <alignment horizontal="center" vertical="center" wrapText="1"/>
    </xf>
    <xf numFmtId="0" fontId="18" fillId="9" borderId="62" xfId="0" applyFont="1" applyFill="1" applyBorder="1" applyAlignment="1">
      <alignment horizontal="center" vertical="center" wrapText="1"/>
    </xf>
    <xf numFmtId="164" fontId="7" fillId="3" borderId="63" xfId="0" applyNumberFormat="1" applyFont="1" applyFill="1" applyBorder="1" applyAlignment="1">
      <alignment horizontal="center"/>
    </xf>
    <xf numFmtId="164" fontId="7" fillId="3" borderId="64" xfId="0" applyNumberFormat="1" applyFont="1" applyFill="1" applyBorder="1" applyAlignment="1">
      <alignment horizontal="center"/>
    </xf>
    <xf numFmtId="164" fontId="7" fillId="6" borderId="63" xfId="0" applyNumberFormat="1" applyFont="1" applyFill="1" applyBorder="1" applyAlignment="1">
      <alignment horizontal="center"/>
    </xf>
    <xf numFmtId="164" fontId="7" fillId="6" borderId="64" xfId="0" applyNumberFormat="1" applyFont="1" applyFill="1" applyBorder="1" applyAlignment="1">
      <alignment horizontal="center"/>
    </xf>
    <xf numFmtId="164" fontId="7" fillId="0" borderId="63" xfId="0" applyNumberFormat="1" applyFont="1" applyBorder="1" applyAlignment="1">
      <alignment horizontal="center"/>
    </xf>
    <xf numFmtId="164" fontId="7" fillId="0" borderId="64" xfId="0" applyNumberFormat="1" applyFont="1" applyBorder="1" applyAlignment="1">
      <alignment horizontal="center"/>
    </xf>
    <xf numFmtId="164" fontId="7" fillId="6" borderId="65" xfId="0" applyNumberFormat="1" applyFont="1" applyFill="1" applyBorder="1" applyAlignment="1">
      <alignment horizontal="center"/>
    </xf>
    <xf numFmtId="164" fontId="7" fillId="6" borderId="66" xfId="0" applyNumberFormat="1" applyFont="1" applyFill="1" applyBorder="1" applyAlignment="1">
      <alignment horizontal="center"/>
    </xf>
    <xf numFmtId="0" fontId="7" fillId="9" borderId="67" xfId="0" applyFont="1" applyFill="1" applyBorder="1" applyAlignment="1">
      <alignment horizontal="center" vertical="center" wrapText="1"/>
    </xf>
    <xf numFmtId="0" fontId="7" fillId="9" borderId="68" xfId="0" quotePrefix="1" applyFont="1" applyFill="1" applyBorder="1" applyAlignment="1">
      <alignment horizontal="center" vertical="center" wrapText="1"/>
    </xf>
    <xf numFmtId="0" fontId="7" fillId="3" borderId="69" xfId="0" applyFont="1" applyFill="1" applyBorder="1" applyAlignment="1">
      <alignment horizontal="center"/>
    </xf>
    <xf numFmtId="0" fontId="7" fillId="6" borderId="69" xfId="0" applyFont="1" applyFill="1" applyBorder="1" applyAlignment="1">
      <alignment horizontal="center"/>
    </xf>
    <xf numFmtId="0" fontId="7" fillId="0" borderId="69" xfId="0" applyFont="1" applyBorder="1" applyAlignment="1">
      <alignment horizontal="center"/>
    </xf>
    <xf numFmtId="0" fontId="7" fillId="6" borderId="70" xfId="0" applyFont="1" applyFill="1" applyBorder="1" applyAlignment="1">
      <alignment horizontal="center"/>
    </xf>
    <xf numFmtId="0" fontId="3" fillId="8" borderId="19" xfId="0" applyFont="1" applyFill="1" applyBorder="1" applyAlignment="1">
      <alignment horizontal="center"/>
    </xf>
    <xf numFmtId="166" fontId="0" fillId="0" borderId="19" xfId="0" applyNumberFormat="1" applyBorder="1" applyAlignment="1">
      <alignment horizontal="center"/>
    </xf>
    <xf numFmtId="166" fontId="0" fillId="0" borderId="20" xfId="0" applyNumberFormat="1" applyBorder="1" applyAlignment="1">
      <alignment horizontal="center"/>
    </xf>
    <xf numFmtId="0" fontId="13" fillId="9" borderId="43" xfId="0" applyFont="1" applyFill="1" applyBorder="1" applyAlignment="1">
      <alignment horizontal="center" vertical="center" wrapText="1"/>
    </xf>
    <xf numFmtId="0" fontId="13" fillId="9" borderId="28" xfId="0" applyFont="1" applyFill="1" applyBorder="1" applyAlignment="1">
      <alignment horizontal="center" vertical="center" wrapText="1"/>
    </xf>
    <xf numFmtId="164" fontId="0" fillId="0" borderId="19" xfId="0" applyNumberFormat="1" applyBorder="1" applyAlignment="1">
      <alignment horizontal="center"/>
    </xf>
    <xf numFmtId="164" fontId="0" fillId="0" borderId="20" xfId="0" applyNumberFormat="1" applyBorder="1" applyAlignment="1">
      <alignment horizontal="center"/>
    </xf>
    <xf numFmtId="0" fontId="0" fillId="8" borderId="19" xfId="0" applyFont="1" applyFill="1" applyBorder="1" applyAlignment="1">
      <alignment horizontal="center"/>
    </xf>
    <xf numFmtId="0" fontId="0" fillId="8" borderId="18" xfId="0" applyFill="1" applyBorder="1" applyAlignment="1">
      <alignment horizontal="center"/>
    </xf>
    <xf numFmtId="0" fontId="0" fillId="8" borderId="19" xfId="0" applyFill="1" applyBorder="1" applyAlignment="1">
      <alignment horizontal="center"/>
    </xf>
    <xf numFmtId="2" fontId="2" fillId="0" borderId="19" xfId="0" applyNumberFormat="1" applyFont="1" applyBorder="1" applyAlignment="1">
      <alignment horizontal="center"/>
    </xf>
    <xf numFmtId="2" fontId="2" fillId="0" borderId="20" xfId="0" applyNumberFormat="1" applyFont="1" applyBorder="1" applyAlignment="1">
      <alignment horizontal="center"/>
    </xf>
    <xf numFmtId="0" fontId="0" fillId="8" borderId="18" xfId="0" applyFont="1" applyFill="1" applyBorder="1" applyAlignment="1">
      <alignment horizontal="center"/>
    </xf>
    <xf numFmtId="0" fontId="0" fillId="9" borderId="33" xfId="0" quotePrefix="1" applyFill="1" applyBorder="1" applyAlignment="1">
      <alignment horizontal="center" vertical="center" wrapText="1"/>
    </xf>
    <xf numFmtId="165" fontId="0" fillId="0" borderId="19" xfId="0" applyNumberFormat="1" applyBorder="1" applyAlignment="1">
      <alignment horizontal="center"/>
    </xf>
    <xf numFmtId="165" fontId="0" fillId="0" borderId="20" xfId="0" applyNumberFormat="1" applyBorder="1" applyAlignment="1">
      <alignment horizontal="center"/>
    </xf>
    <xf numFmtId="0" fontId="0" fillId="9" borderId="43" xfId="0" applyFill="1" applyBorder="1" applyAlignment="1">
      <alignment horizontal="center" vertical="center" wrapText="1"/>
    </xf>
    <xf numFmtId="0" fontId="39" fillId="9" borderId="28" xfId="0" applyFont="1" applyFill="1" applyBorder="1" applyAlignment="1">
      <alignment horizontal="center" vertical="center" wrapText="1"/>
    </xf>
    <xf numFmtId="0" fontId="39" fillId="9" borderId="40" xfId="0" quotePrefix="1" applyFont="1" applyFill="1" applyBorder="1" applyAlignment="1">
      <alignment horizontal="center" vertical="center" wrapText="1"/>
    </xf>
    <xf numFmtId="0" fontId="39" fillId="9" borderId="33" xfId="0" applyFont="1" applyFill="1" applyBorder="1" applyAlignment="1">
      <alignment horizontal="center" vertical="center" wrapText="1"/>
    </xf>
    <xf numFmtId="168" fontId="12" fillId="0" borderId="0" xfId="0" applyNumberFormat="1" applyFont="1" applyFill="1" applyAlignment="1">
      <alignment horizontal="center"/>
    </xf>
    <xf numFmtId="168" fontId="9" fillId="0" borderId="0" xfId="0" applyNumberFormat="1" applyFont="1" applyFill="1" applyAlignment="1">
      <alignment horizontal="center"/>
    </xf>
    <xf numFmtId="164" fontId="41" fillId="3" borderId="0" xfId="0" applyNumberFormat="1" applyFont="1" applyFill="1" applyAlignment="1">
      <alignment horizontal="center"/>
    </xf>
    <xf numFmtId="164" fontId="41" fillId="6" borderId="0" xfId="0" applyNumberFormat="1" applyFont="1" applyFill="1" applyAlignment="1">
      <alignment horizontal="center"/>
    </xf>
    <xf numFmtId="164" fontId="41" fillId="0" borderId="0" xfId="0" applyNumberFormat="1" applyFont="1" applyAlignment="1">
      <alignment horizontal="center"/>
    </xf>
    <xf numFmtId="0" fontId="40" fillId="9" borderId="34" xfId="0" applyFont="1" applyFill="1" applyBorder="1" applyAlignment="1">
      <alignment horizontal="center" vertical="center" wrapText="1"/>
    </xf>
    <xf numFmtId="0" fontId="40" fillId="9" borderId="34" xfId="0" quotePrefix="1" applyFont="1" applyFill="1" applyBorder="1" applyAlignment="1">
      <alignment horizontal="center" vertical="center" wrapText="1"/>
    </xf>
    <xf numFmtId="0" fontId="5" fillId="2" borderId="5" xfId="0" applyFont="1" applyFill="1" applyBorder="1" applyAlignment="1">
      <alignment horizontal="left"/>
    </xf>
    <xf numFmtId="164" fontId="42" fillId="0" borderId="0" xfId="0" applyNumberFormat="1" applyFont="1" applyBorder="1" applyAlignment="1">
      <alignment horizontal="center"/>
    </xf>
    <xf numFmtId="0" fontId="2" fillId="10" borderId="71" xfId="0" applyFont="1" applyFill="1" applyBorder="1" applyAlignment="1">
      <alignment horizontal="center" vertical="center" wrapText="1"/>
    </xf>
    <xf numFmtId="0" fontId="18" fillId="9" borderId="35" xfId="0" quotePrefix="1" applyFont="1" applyFill="1" applyBorder="1" applyAlignment="1">
      <alignment horizontal="center" vertical="center" wrapText="1"/>
    </xf>
    <xf numFmtId="0" fontId="2" fillId="7" borderId="53"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5" fillId="0" borderId="0" xfId="0" applyFont="1" applyAlignment="1">
      <alignment horizontal="center"/>
    </xf>
    <xf numFmtId="164" fontId="2" fillId="3" borderId="0" xfId="0" applyNumberFormat="1" applyFont="1" applyFill="1" applyAlignment="1">
      <alignment horizontal="center"/>
    </xf>
    <xf numFmtId="164" fontId="2" fillId="6" borderId="0" xfId="0" applyNumberFormat="1" applyFont="1" applyFill="1" applyAlignment="1">
      <alignment horizontal="center"/>
    </xf>
    <xf numFmtId="164" fontId="2" fillId="0" borderId="0" xfId="0" applyNumberFormat="1" applyFont="1" applyAlignment="1">
      <alignment horizontal="center"/>
    </xf>
    <xf numFmtId="2" fontId="8" fillId="3" borderId="54" xfId="0" applyNumberFormat="1" applyFont="1" applyFill="1" applyBorder="1" applyAlignment="1">
      <alignment horizontal="center" vertical="center" wrapText="1"/>
    </xf>
    <xf numFmtId="0" fontId="0" fillId="9" borderId="12" xfId="0" quotePrefix="1" applyFill="1" applyBorder="1" applyAlignment="1">
      <alignment horizontal="center" vertical="center" wrapText="1"/>
    </xf>
    <xf numFmtId="0" fontId="0" fillId="9" borderId="6" xfId="0" applyFill="1" applyBorder="1" applyAlignment="1">
      <alignment horizontal="center" vertical="center" wrapText="1"/>
    </xf>
    <xf numFmtId="0" fontId="0" fillId="9" borderId="7" xfId="0" quotePrefix="1" applyFill="1" applyBorder="1" applyAlignment="1">
      <alignment horizontal="center" vertical="center" wrapText="1"/>
    </xf>
    <xf numFmtId="0" fontId="0" fillId="9" borderId="8" xfId="0" quotePrefix="1" applyFill="1" applyBorder="1" applyAlignment="1">
      <alignment horizontal="center" vertical="center" wrapText="1"/>
    </xf>
    <xf numFmtId="0" fontId="38" fillId="9" borderId="7" xfId="0" quotePrefix="1" applyFont="1" applyFill="1" applyBorder="1" applyAlignment="1">
      <alignment horizontal="center" vertical="center" wrapText="1"/>
    </xf>
    <xf numFmtId="0" fontId="18" fillId="9" borderId="8" xfId="0" quotePrefix="1" applyFont="1" applyFill="1" applyBorder="1" applyAlignment="1">
      <alignment horizontal="center" vertical="center" wrapText="1"/>
    </xf>
    <xf numFmtId="164" fontId="7" fillId="10" borderId="7" xfId="0" applyNumberFormat="1" applyFont="1" applyFill="1" applyBorder="1" applyAlignment="1">
      <alignment horizontal="center" vertical="center" wrapText="1"/>
    </xf>
    <xf numFmtId="164" fontId="7" fillId="10" borderId="8" xfId="0" applyNumberFormat="1" applyFont="1" applyFill="1" applyBorder="1" applyAlignment="1">
      <alignment horizontal="center" vertical="center" wrapText="1"/>
    </xf>
    <xf numFmtId="164" fontId="7" fillId="7" borderId="7" xfId="0" applyNumberFormat="1" applyFont="1" applyFill="1" applyBorder="1" applyAlignment="1">
      <alignment horizontal="center" vertical="center" wrapText="1"/>
    </xf>
    <xf numFmtId="164" fontId="7" fillId="7" borderId="8" xfId="0" applyNumberFormat="1" applyFont="1" applyFill="1" applyBorder="1" applyAlignment="1">
      <alignment horizontal="center" vertical="center" wrapText="1"/>
    </xf>
    <xf numFmtId="164" fontId="7" fillId="0" borderId="7" xfId="0" applyNumberFormat="1" applyFont="1" applyBorder="1" applyAlignment="1">
      <alignment horizontal="center" vertical="center" wrapText="1"/>
    </xf>
    <xf numFmtId="164" fontId="7" fillId="0" borderId="8" xfId="0" applyNumberFormat="1" applyFont="1" applyBorder="1" applyAlignment="1">
      <alignment horizontal="center" vertical="center" wrapText="1"/>
    </xf>
    <xf numFmtId="164" fontId="7" fillId="7" borderId="9" xfId="0" applyNumberFormat="1" applyFont="1" applyFill="1" applyBorder="1" applyAlignment="1">
      <alignment horizontal="center" vertical="center" wrapText="1"/>
    </xf>
    <xf numFmtId="164" fontId="7" fillId="7" borderId="11" xfId="0" applyNumberFormat="1" applyFont="1" applyFill="1" applyBorder="1" applyAlignment="1">
      <alignment horizontal="center" vertical="center" wrapText="1"/>
    </xf>
    <xf numFmtId="49" fontId="0" fillId="3" borderId="0" xfId="0" applyNumberFormat="1" applyFill="1" applyBorder="1"/>
    <xf numFmtId="0" fontId="5" fillId="0" borderId="0" xfId="0" applyFont="1" applyAlignment="1">
      <alignment horizontal="left"/>
    </xf>
    <xf numFmtId="0" fontId="13" fillId="0" borderId="0" xfId="0" quotePrefix="1" applyFont="1" applyBorder="1" applyAlignment="1">
      <alignment horizontal="left"/>
    </xf>
    <xf numFmtId="2" fontId="7" fillId="0" borderId="7" xfId="0" applyNumberFormat="1" applyFont="1" applyBorder="1"/>
    <xf numFmtId="2" fontId="2" fillId="0" borderId="49" xfId="0" applyNumberFormat="1" applyFont="1" applyBorder="1" applyAlignment="1">
      <alignment horizontal="center"/>
    </xf>
    <xf numFmtId="0" fontId="5" fillId="0" borderId="0" xfId="0" applyFont="1" applyBorder="1" applyAlignment="1">
      <alignment horizontal="left"/>
    </xf>
    <xf numFmtId="0" fontId="5" fillId="9" borderId="0" xfId="0" applyFont="1" applyFill="1" applyBorder="1" applyAlignment="1">
      <alignment horizontal="center" vertical="center" wrapText="1"/>
    </xf>
    <xf numFmtId="0" fontId="0" fillId="0" borderId="0" xfId="0" quotePrefix="1" applyBorder="1" applyAlignment="1">
      <alignment horizontal="right"/>
    </xf>
    <xf numFmtId="2" fontId="0" fillId="9" borderId="0" xfId="0" applyNumberFormat="1" applyFill="1" applyBorder="1" applyAlignment="1">
      <alignment horizontal="center" vertical="center" wrapText="1"/>
    </xf>
    <xf numFmtId="0" fontId="0" fillId="9" borderId="0" xfId="0" applyFill="1" applyBorder="1" applyAlignment="1">
      <alignment horizontal="center" vertical="center" wrapText="1"/>
    </xf>
    <xf numFmtId="0" fontId="14" fillId="9" borderId="0" xfId="0" applyFont="1" applyFill="1" applyBorder="1" applyAlignment="1">
      <alignment horizontal="center" vertical="center" wrapText="1"/>
    </xf>
    <xf numFmtId="0" fontId="12" fillId="9" borderId="0" xfId="0" applyFont="1" applyFill="1" applyBorder="1" applyAlignment="1">
      <alignment horizontal="center" vertical="center" wrapText="1"/>
    </xf>
    <xf numFmtId="0" fontId="0" fillId="9" borderId="0" xfId="0" quotePrefix="1" applyFill="1" applyBorder="1" applyAlignment="1">
      <alignment horizontal="center" vertical="center" wrapText="1"/>
    </xf>
    <xf numFmtId="0" fontId="14" fillId="9" borderId="0" xfId="0" quotePrefix="1" applyFont="1" applyFill="1" applyBorder="1" applyAlignment="1">
      <alignment horizontal="center" vertical="center" wrapText="1"/>
    </xf>
    <xf numFmtId="0" fontId="24" fillId="9" borderId="0" xfId="0" quotePrefix="1" applyFont="1" applyFill="1" applyBorder="1" applyAlignment="1">
      <alignment horizontal="center" vertical="center" wrapText="1"/>
    </xf>
    <xf numFmtId="0" fontId="12" fillId="9" borderId="0" xfId="0" quotePrefix="1" applyFont="1" applyFill="1" applyBorder="1" applyAlignment="1">
      <alignment horizontal="center" vertical="center" wrapText="1"/>
    </xf>
    <xf numFmtId="164" fontId="0" fillId="10" borderId="0" xfId="0" applyNumberFormat="1" applyFill="1" applyBorder="1" applyAlignment="1">
      <alignment horizontal="center" vertical="center" wrapText="1"/>
    </xf>
    <xf numFmtId="2" fontId="0" fillId="10" borderId="0" xfId="0" applyNumberFormat="1" applyFill="1" applyBorder="1" applyAlignment="1">
      <alignment horizontal="center" vertical="center" wrapText="1"/>
    </xf>
    <xf numFmtId="1" fontId="0" fillId="10" borderId="0" xfId="0" applyNumberFormat="1" applyFill="1" applyBorder="1" applyAlignment="1">
      <alignment horizontal="center" vertical="center" wrapText="1"/>
    </xf>
    <xf numFmtId="166" fontId="12" fillId="10" borderId="0" xfId="0" applyNumberFormat="1" applyFont="1" applyFill="1" applyBorder="1" applyAlignment="1">
      <alignment horizontal="center" vertical="center" wrapText="1"/>
    </xf>
    <xf numFmtId="2" fontId="0" fillId="7" borderId="0" xfId="0" applyNumberFormat="1" applyFill="1" applyBorder="1" applyAlignment="1">
      <alignment horizontal="center" vertical="center" wrapText="1"/>
    </xf>
    <xf numFmtId="1" fontId="0" fillId="7" borderId="0" xfId="0" applyNumberFormat="1" applyFill="1" applyBorder="1" applyAlignment="1">
      <alignment horizontal="center" vertical="center" wrapText="1"/>
    </xf>
    <xf numFmtId="166" fontId="12" fillId="7" borderId="0" xfId="0" applyNumberFormat="1" applyFont="1" applyFill="1" applyBorder="1" applyAlignment="1">
      <alignment horizontal="center" vertical="center" wrapText="1"/>
    </xf>
    <xf numFmtId="164" fontId="0" fillId="0" borderId="0" xfId="0" applyNumberFormat="1" applyBorder="1" applyAlignment="1">
      <alignment horizontal="center" vertical="center" wrapText="1"/>
    </xf>
    <xf numFmtId="2"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166" fontId="12" fillId="0" borderId="0" xfId="0" applyNumberFormat="1" applyFont="1" applyBorder="1" applyAlignment="1">
      <alignment horizontal="center" vertical="center" wrapText="1"/>
    </xf>
    <xf numFmtId="0" fontId="7" fillId="9" borderId="8" xfId="0" applyFont="1" applyFill="1" applyBorder="1" applyAlignment="1">
      <alignment horizontal="center" vertical="center" wrapText="1"/>
    </xf>
    <xf numFmtId="2" fontId="8" fillId="3" borderId="8" xfId="0" applyNumberFormat="1" applyFont="1" applyFill="1" applyBorder="1" applyAlignment="1">
      <alignment horizontal="center" vertical="center" wrapText="1"/>
    </xf>
    <xf numFmtId="2" fontId="8" fillId="6" borderId="8" xfId="0" applyNumberFormat="1" applyFont="1" applyFill="1" applyBorder="1" applyAlignment="1">
      <alignment horizontal="center" vertical="center" wrapText="1"/>
    </xf>
    <xf numFmtId="2" fontId="8" fillId="0" borderId="8" xfId="0" applyNumberFormat="1" applyFont="1" applyBorder="1" applyAlignment="1">
      <alignment horizontal="center" vertical="center" wrapText="1"/>
    </xf>
    <xf numFmtId="0" fontId="3" fillId="3" borderId="12" xfId="0" applyFont="1" applyFill="1" applyBorder="1"/>
    <xf numFmtId="0" fontId="0" fillId="3" borderId="5" xfId="0" applyFill="1" applyBorder="1"/>
    <xf numFmtId="49" fontId="3" fillId="3" borderId="72" xfId="0" quotePrefix="1" applyNumberFormat="1" applyFont="1" applyFill="1" applyBorder="1" applyAlignment="1">
      <alignment horizontal="left"/>
    </xf>
    <xf numFmtId="49" fontId="0" fillId="3" borderId="73" xfId="0" applyNumberFormat="1" applyFill="1" applyBorder="1"/>
    <xf numFmtId="49" fontId="0" fillId="3" borderId="74" xfId="0" applyNumberFormat="1" applyFill="1" applyBorder="1"/>
    <xf numFmtId="49" fontId="3" fillId="3" borderId="75" xfId="0" quotePrefix="1" applyNumberFormat="1" applyFont="1" applyFill="1" applyBorder="1" applyAlignment="1">
      <alignment horizontal="left"/>
    </xf>
    <xf numFmtId="49" fontId="0" fillId="3" borderId="76" xfId="0" applyNumberFormat="1" applyFill="1" applyBorder="1"/>
    <xf numFmtId="49" fontId="3" fillId="3" borderId="76" xfId="0" quotePrefix="1" applyNumberFormat="1" applyFont="1" applyFill="1" applyBorder="1" applyAlignment="1">
      <alignment horizontal="left"/>
    </xf>
    <xf numFmtId="49" fontId="3" fillId="3" borderId="77" xfId="0" quotePrefix="1" applyNumberFormat="1" applyFont="1" applyFill="1" applyBorder="1" applyAlignment="1">
      <alignment horizontal="left"/>
    </xf>
    <xf numFmtId="49" fontId="3" fillId="3" borderId="17" xfId="0" quotePrefix="1" applyNumberFormat="1" applyFont="1" applyFill="1" applyBorder="1" applyAlignment="1">
      <alignment horizontal="left"/>
    </xf>
    <xf numFmtId="49" fontId="13" fillId="3" borderId="78" xfId="0" applyNumberFormat="1" applyFont="1" applyFill="1" applyBorder="1"/>
    <xf numFmtId="49" fontId="3" fillId="3" borderId="76" xfId="0" applyNumberFormat="1" applyFont="1" applyFill="1" applyBorder="1"/>
    <xf numFmtId="0" fontId="21" fillId="9" borderId="28" xfId="0" quotePrefix="1" applyFont="1" applyFill="1" applyBorder="1" applyAlignment="1">
      <alignment horizontal="center" vertical="center" wrapText="1"/>
    </xf>
    <xf numFmtId="165" fontId="7" fillId="0" borderId="28" xfId="0" quotePrefix="1" applyNumberFormat="1" applyFont="1" applyFill="1" applyBorder="1" applyAlignment="1">
      <alignment horizontal="center" vertical="center" wrapText="1"/>
    </xf>
    <xf numFmtId="165" fontId="7" fillId="0" borderId="42" xfId="0" quotePrefix="1" applyNumberFormat="1" applyFont="1" applyFill="1" applyBorder="1" applyAlignment="1">
      <alignment horizontal="center" vertical="center" wrapText="1"/>
    </xf>
    <xf numFmtId="0" fontId="0" fillId="0" borderId="12" xfId="0" quotePrefix="1" applyBorder="1" applyAlignment="1">
      <alignment horizontal="left"/>
    </xf>
    <xf numFmtId="0" fontId="0" fillId="0" borderId="7" xfId="0" quotePrefix="1" applyBorder="1" applyAlignment="1">
      <alignment horizontal="left"/>
    </xf>
    <xf numFmtId="0" fontId="0" fillId="0" borderId="7" xfId="0" applyNumberFormat="1" applyBorder="1"/>
    <xf numFmtId="0" fontId="0" fillId="0" borderId="0" xfId="0" applyNumberFormat="1" applyBorder="1"/>
    <xf numFmtId="0" fontId="0" fillId="0" borderId="8" xfId="0" applyBorder="1" applyAlignment="1">
      <alignment horizontal="right"/>
    </xf>
    <xf numFmtId="0" fontId="10" fillId="0" borderId="0" xfId="0" quotePrefix="1" applyFont="1" applyBorder="1" applyAlignment="1">
      <alignment horizontal="left"/>
    </xf>
    <xf numFmtId="0" fontId="21" fillId="6" borderId="0" xfId="0" applyFont="1" applyFill="1" applyAlignment="1">
      <alignment horizontal="center"/>
    </xf>
    <xf numFmtId="0" fontId="7" fillId="0" borderId="0" xfId="0" applyFont="1" applyFill="1" applyBorder="1" applyAlignment="1">
      <alignment horizontal="center"/>
    </xf>
    <xf numFmtId="164" fontId="2" fillId="10" borderId="1" xfId="0" applyNumberFormat="1" applyFont="1" applyFill="1" applyBorder="1" applyAlignment="1">
      <alignment horizontal="center" vertical="center" wrapText="1"/>
    </xf>
    <xf numFmtId="164" fontId="7" fillId="7" borderId="22" xfId="0" applyNumberFormat="1" applyFont="1" applyFill="1" applyBorder="1" applyAlignment="1">
      <alignment horizontal="center" vertical="center" wrapText="1"/>
    </xf>
    <xf numFmtId="164" fontId="7" fillId="0" borderId="22" xfId="0" applyNumberFormat="1" applyFont="1" applyBorder="1" applyAlignment="1">
      <alignment horizontal="center" vertical="center" wrapText="1"/>
    </xf>
    <xf numFmtId="0" fontId="2" fillId="10" borderId="32" xfId="0" applyFont="1" applyFill="1" applyBorder="1" applyAlignment="1">
      <alignment horizontal="center" vertical="center" wrapText="1"/>
    </xf>
    <xf numFmtId="164" fontId="7" fillId="7" borderId="53" xfId="0" applyNumberFormat="1" applyFont="1" applyFill="1" applyBorder="1" applyAlignment="1">
      <alignment horizontal="center" vertical="center" wrapText="1"/>
    </xf>
    <xf numFmtId="0" fontId="5" fillId="0" borderId="0" xfId="0" quotePrefix="1" applyFont="1" applyBorder="1" applyAlignment="1">
      <alignment horizontal="left"/>
    </xf>
    <xf numFmtId="0" fontId="27" fillId="0" borderId="0" xfId="0" quotePrefix="1" applyFont="1" applyAlignment="1">
      <alignment horizontal="left"/>
    </xf>
    <xf numFmtId="0" fontId="5" fillId="3" borderId="0" xfId="0" applyFont="1" applyFill="1" applyBorder="1"/>
    <xf numFmtId="0" fontId="31" fillId="0" borderId="0" xfId="0" quotePrefix="1" applyFont="1" applyAlignment="1">
      <alignment horizontal="left"/>
    </xf>
    <xf numFmtId="0" fontId="14" fillId="0" borderId="0" xfId="0" quotePrefix="1" applyFont="1" applyAlignment="1">
      <alignment horizontal="left"/>
    </xf>
    <xf numFmtId="0" fontId="31" fillId="0" borderId="0" xfId="0" quotePrefix="1" applyFont="1" applyAlignment="1">
      <alignment horizontal="right"/>
    </xf>
    <xf numFmtId="0" fontId="27" fillId="0" borderId="0" xfId="0" quotePrefix="1" applyFont="1" applyAlignment="1">
      <alignment horizontal="center"/>
    </xf>
    <xf numFmtId="0" fontId="7" fillId="7" borderId="53" xfId="0" applyFont="1" applyFill="1" applyBorder="1" applyAlignment="1">
      <alignment horizontal="center" vertical="center" wrapText="1"/>
    </xf>
    <xf numFmtId="0" fontId="7" fillId="10" borderId="1" xfId="0" applyFont="1" applyFill="1" applyBorder="1" applyAlignment="1">
      <alignment horizontal="center" vertical="center" wrapText="1"/>
    </xf>
    <xf numFmtId="164" fontId="2" fillId="10" borderId="34" xfId="0" applyNumberFormat="1" applyFont="1" applyFill="1" applyBorder="1" applyAlignment="1">
      <alignment horizontal="center" vertical="center" wrapText="1"/>
    </xf>
    <xf numFmtId="164" fontId="2" fillId="10" borderId="32" xfId="0" applyNumberFormat="1" applyFont="1" applyFill="1" applyBorder="1" applyAlignment="1">
      <alignment horizontal="center" vertical="center" wrapText="1"/>
    </xf>
    <xf numFmtId="164" fontId="2" fillId="7" borderId="22" xfId="0" applyNumberFormat="1" applyFont="1" applyFill="1" applyBorder="1" applyAlignment="1">
      <alignment horizontal="center" vertical="center" wrapText="1"/>
    </xf>
    <xf numFmtId="164" fontId="2" fillId="7" borderId="53" xfId="0" applyNumberFormat="1" applyFont="1" applyFill="1" applyBorder="1" applyAlignment="1">
      <alignment horizontal="center" vertical="center" wrapText="1"/>
    </xf>
    <xf numFmtId="164" fontId="2" fillId="0" borderId="22" xfId="0" applyNumberFormat="1" applyFont="1" applyBorder="1" applyAlignment="1">
      <alignment horizontal="center" vertical="center" wrapText="1"/>
    </xf>
    <xf numFmtId="164" fontId="7" fillId="10" borderId="1" xfId="0" applyNumberFormat="1" applyFont="1" applyFill="1" applyBorder="1" applyAlignment="1">
      <alignment horizontal="center" vertical="center" wrapText="1"/>
    </xf>
    <xf numFmtId="0" fontId="7" fillId="9" borderId="40" xfId="0" quotePrefix="1" applyFont="1" applyFill="1" applyBorder="1" applyAlignment="1">
      <alignment horizontal="center" vertical="center" wrapText="1"/>
    </xf>
    <xf numFmtId="0" fontId="10" fillId="0" borderId="0" xfId="0" quotePrefix="1" applyFont="1" applyAlignment="1"/>
    <xf numFmtId="0" fontId="44" fillId="0" borderId="0" xfId="0" quotePrefix="1" applyFont="1" applyAlignment="1">
      <alignment horizontal="right"/>
    </xf>
    <xf numFmtId="0" fontId="15" fillId="0" borderId="0" xfId="0" applyFont="1"/>
    <xf numFmtId="0" fontId="45" fillId="0" borderId="0" xfId="0" applyFont="1"/>
    <xf numFmtId="0" fontId="34" fillId="3" borderId="0" xfId="0" quotePrefix="1" applyFont="1" applyFill="1" applyAlignment="1">
      <alignment horizontal="left"/>
    </xf>
    <xf numFmtId="0" fontId="34" fillId="0" borderId="0" xfId="0" quotePrefix="1" applyFont="1" applyFill="1" applyAlignment="1">
      <alignment horizontal="left"/>
    </xf>
    <xf numFmtId="0" fontId="7" fillId="9" borderId="34" xfId="0" quotePrefix="1" applyFont="1" applyFill="1" applyBorder="1" applyAlignment="1">
      <alignment horizontal="center" vertical="center" wrapText="1"/>
    </xf>
    <xf numFmtId="164" fontId="7" fillId="3" borderId="18" xfId="0" applyNumberFormat="1" applyFont="1" applyFill="1" applyBorder="1" applyAlignment="1">
      <alignment horizontal="center"/>
    </xf>
    <xf numFmtId="164" fontId="7" fillId="6" borderId="19" xfId="0" applyNumberFormat="1" applyFont="1" applyFill="1" applyBorder="1" applyAlignment="1">
      <alignment horizontal="center"/>
    </xf>
    <xf numFmtId="164" fontId="7" fillId="0" borderId="19" xfId="0" applyNumberFormat="1" applyFont="1" applyBorder="1" applyAlignment="1">
      <alignment horizontal="center"/>
    </xf>
    <xf numFmtId="164" fontId="7" fillId="6" borderId="20" xfId="0" applyNumberFormat="1" applyFont="1" applyFill="1" applyBorder="1" applyAlignment="1">
      <alignment horizontal="center"/>
    </xf>
    <xf numFmtId="2" fontId="7" fillId="3" borderId="18" xfId="0" applyNumberFormat="1" applyFont="1" applyFill="1" applyBorder="1" applyAlignment="1">
      <alignment horizontal="center"/>
    </xf>
    <xf numFmtId="2" fontId="7" fillId="6" borderId="19" xfId="0" applyNumberFormat="1" applyFont="1" applyFill="1" applyBorder="1" applyAlignment="1">
      <alignment horizontal="center"/>
    </xf>
    <xf numFmtId="2" fontId="7" fillId="0" borderId="19" xfId="0" applyNumberFormat="1" applyFont="1" applyBorder="1" applyAlignment="1">
      <alignment horizontal="center"/>
    </xf>
    <xf numFmtId="2" fontId="7" fillId="6" borderId="20" xfId="0" applyNumberFormat="1" applyFont="1" applyFill="1" applyBorder="1" applyAlignment="1">
      <alignment horizontal="center"/>
    </xf>
    <xf numFmtId="0" fontId="0" fillId="0" borderId="0" xfId="0" applyAlignment="1">
      <alignment horizontal="left"/>
    </xf>
    <xf numFmtId="164" fontId="13" fillId="3" borderId="0" xfId="0" applyNumberFormat="1" applyFont="1" applyFill="1" applyAlignment="1">
      <alignment horizontal="center"/>
    </xf>
    <xf numFmtId="164" fontId="13" fillId="6" borderId="0" xfId="0" applyNumberFormat="1" applyFont="1" applyFill="1" applyAlignment="1">
      <alignment horizontal="center"/>
    </xf>
    <xf numFmtId="164" fontId="13" fillId="0" borderId="0" xfId="0" applyNumberFormat="1" applyFont="1" applyAlignment="1">
      <alignment horizontal="center"/>
    </xf>
    <xf numFmtId="0" fontId="3" fillId="0" borderId="0" xfId="0" applyFont="1" applyAlignment="1">
      <alignment horizontal="center"/>
    </xf>
    <xf numFmtId="0" fontId="34" fillId="0" borderId="0" xfId="0" applyFont="1"/>
    <xf numFmtId="0" fontId="34" fillId="0" borderId="0" xfId="0" applyFont="1" applyFill="1" applyBorder="1" applyAlignment="1">
      <alignment horizontal="left" vertical="center"/>
    </xf>
    <xf numFmtId="0" fontId="2" fillId="0" borderId="2" xfId="0" applyFont="1" applyBorder="1"/>
    <xf numFmtId="0" fontId="0" fillId="0" borderId="4" xfId="0" applyBorder="1"/>
    <xf numFmtId="0" fontId="34" fillId="0" borderId="0" xfId="0" applyFont="1" applyBorder="1"/>
    <xf numFmtId="0" fontId="46" fillId="0" borderId="0" xfId="0" applyFont="1" applyBorder="1" applyAlignment="1">
      <alignment horizontal="left"/>
    </xf>
    <xf numFmtId="0" fontId="36" fillId="10" borderId="71" xfId="0" applyFont="1" applyFill="1" applyBorder="1" applyAlignment="1">
      <alignment horizontal="center" vertical="center" wrapText="1"/>
    </xf>
    <xf numFmtId="0" fontId="36" fillId="7" borderId="22" xfId="0" applyFont="1" applyFill="1" applyBorder="1" applyAlignment="1">
      <alignment horizontal="center" vertical="center" wrapText="1"/>
    </xf>
    <xf numFmtId="0" fontId="36" fillId="0" borderId="22" xfId="0" applyFont="1" applyBorder="1" applyAlignment="1">
      <alignment horizontal="center" vertical="center" wrapText="1"/>
    </xf>
    <xf numFmtId="1" fontId="8" fillId="3" borderId="79" xfId="0" applyNumberFormat="1" applyFont="1" applyFill="1" applyBorder="1" applyAlignment="1">
      <alignment horizontal="center" vertical="center" wrapText="1"/>
    </xf>
    <xf numFmtId="1" fontId="8" fillId="6" borderId="79" xfId="0" applyNumberFormat="1" applyFont="1" applyFill="1" applyBorder="1" applyAlignment="1">
      <alignment horizontal="center" vertical="center" wrapText="1"/>
    </xf>
    <xf numFmtId="1" fontId="8" fillId="0" borderId="79" xfId="0" applyNumberFormat="1" applyFont="1" applyBorder="1" applyAlignment="1">
      <alignment horizontal="center" vertical="center" wrapText="1"/>
    </xf>
    <xf numFmtId="1" fontId="8" fillId="0" borderId="79" xfId="0" applyNumberFormat="1" applyFont="1" applyFill="1" applyBorder="1" applyAlignment="1">
      <alignment horizontal="center" vertical="center" wrapText="1"/>
    </xf>
    <xf numFmtId="0" fontId="1" fillId="0" borderId="18" xfId="0" quotePrefix="1" applyFont="1" applyBorder="1" applyAlignment="1">
      <alignment horizontal="center"/>
    </xf>
    <xf numFmtId="165" fontId="8" fillId="3" borderId="80" xfId="0" applyNumberFormat="1" applyFont="1" applyFill="1" applyBorder="1" applyAlignment="1">
      <alignment horizontal="center" vertical="center" wrapText="1"/>
    </xf>
    <xf numFmtId="165" fontId="8" fillId="6" borderId="80" xfId="0" applyNumberFormat="1" applyFont="1" applyFill="1" applyBorder="1" applyAlignment="1">
      <alignment horizontal="center" vertical="center" wrapText="1"/>
    </xf>
    <xf numFmtId="165" fontId="8" fillId="0" borderId="80" xfId="0" applyNumberFormat="1" applyFont="1" applyBorder="1" applyAlignment="1">
      <alignment horizontal="center" vertical="center" wrapText="1"/>
    </xf>
    <xf numFmtId="1" fontId="8" fillId="0" borderId="0" xfId="0" applyNumberFormat="1" applyFont="1" applyFill="1" applyBorder="1" applyAlignment="1">
      <alignment horizontal="left" vertical="center" wrapText="1" readingOrder="1"/>
    </xf>
    <xf numFmtId="0" fontId="7" fillId="7" borderId="35" xfId="0" applyFont="1" applyFill="1" applyBorder="1" applyAlignment="1">
      <alignment horizontal="center" vertical="center" wrapText="1"/>
    </xf>
    <xf numFmtId="0" fontId="2" fillId="7" borderId="35" xfId="0" applyFont="1" applyFill="1" applyBorder="1" applyAlignment="1">
      <alignment horizontal="center" vertical="center" wrapText="1"/>
    </xf>
    <xf numFmtId="1" fontId="8" fillId="6" borderId="81" xfId="0" applyNumberFormat="1" applyFont="1" applyFill="1" applyBorder="1" applyAlignment="1">
      <alignment horizontal="center" vertical="center" wrapText="1"/>
    </xf>
    <xf numFmtId="165" fontId="8" fillId="6" borderId="82" xfId="0" applyNumberFormat="1" applyFont="1" applyFill="1" applyBorder="1" applyAlignment="1">
      <alignment horizontal="center" vertical="center" wrapText="1"/>
    </xf>
    <xf numFmtId="164" fontId="8" fillId="6" borderId="83" xfId="0" applyNumberFormat="1" applyFont="1" applyFill="1" applyBorder="1" applyAlignment="1">
      <alignment horizontal="center" vertical="center" wrapText="1"/>
    </xf>
    <xf numFmtId="0" fontId="12" fillId="0" borderId="0" xfId="0" applyFont="1" applyFill="1" applyBorder="1"/>
    <xf numFmtId="0" fontId="43" fillId="0" borderId="0" xfId="0" applyFont="1" applyFill="1" applyBorder="1"/>
    <xf numFmtId="1" fontId="47" fillId="0" borderId="84" xfId="0" applyNumberFormat="1" applyFont="1" applyFill="1" applyBorder="1" applyAlignment="1">
      <alignment horizontal="center" vertical="center" wrapText="1"/>
    </xf>
    <xf numFmtId="166" fontId="47" fillId="0" borderId="85" xfId="0" applyNumberFormat="1" applyFont="1" applyFill="1" applyBorder="1" applyAlignment="1">
      <alignment horizontal="center" vertical="center" wrapText="1"/>
    </xf>
    <xf numFmtId="165" fontId="6" fillId="0" borderId="85" xfId="0" applyNumberFormat="1" applyFont="1" applyFill="1" applyBorder="1" applyAlignment="1">
      <alignment horizontal="center" vertical="center" wrapText="1"/>
    </xf>
    <xf numFmtId="0" fontId="0" fillId="0" borderId="85" xfId="0" applyFill="1" applyBorder="1"/>
    <xf numFmtId="164" fontId="0" fillId="0" borderId="85" xfId="0" applyNumberFormat="1" applyFill="1" applyBorder="1" applyAlignment="1">
      <alignment horizontal="center"/>
    </xf>
    <xf numFmtId="0" fontId="0" fillId="0" borderId="85" xfId="0" applyBorder="1"/>
    <xf numFmtId="164" fontId="0" fillId="0" borderId="85" xfId="0" applyNumberFormat="1" applyFill="1" applyBorder="1" applyAlignment="1">
      <alignment horizontal="center" vertical="center" wrapText="1"/>
    </xf>
    <xf numFmtId="164" fontId="0" fillId="0" borderId="86" xfId="0" quotePrefix="1" applyNumberFormat="1" applyFill="1" applyBorder="1" applyAlignment="1">
      <alignment horizontal="center" vertical="center" wrapText="1"/>
    </xf>
    <xf numFmtId="0" fontId="48" fillId="0" borderId="87" xfId="0" quotePrefix="1" applyNumberFormat="1" applyFont="1" applyFill="1" applyBorder="1" applyAlignment="1">
      <alignment horizontal="left" vertical="center" readingOrder="1"/>
    </xf>
    <xf numFmtId="166" fontId="47" fillId="0" borderId="88" xfId="0" applyNumberFormat="1" applyFont="1" applyFill="1" applyBorder="1" applyAlignment="1">
      <alignment horizontal="left" vertical="center" wrapText="1"/>
    </xf>
    <xf numFmtId="0" fontId="0" fillId="0" borderId="88" xfId="0" applyFill="1" applyBorder="1"/>
    <xf numFmtId="0" fontId="0" fillId="0" borderId="89" xfId="0" applyFill="1" applyBorder="1"/>
    <xf numFmtId="0" fontId="0" fillId="0" borderId="86" xfId="0" applyBorder="1"/>
    <xf numFmtId="0" fontId="0" fillId="0" borderId="88" xfId="0" applyBorder="1"/>
    <xf numFmtId="0" fontId="0" fillId="0" borderId="89" xfId="0" applyBorder="1"/>
    <xf numFmtId="0" fontId="48" fillId="0" borderId="90" xfId="0" quotePrefix="1" applyNumberFormat="1" applyFont="1" applyFill="1" applyBorder="1" applyAlignment="1">
      <alignment horizontal="left" vertical="center" readingOrder="1"/>
    </xf>
    <xf numFmtId="0" fontId="0" fillId="0" borderId="91" xfId="0" applyFill="1" applyBorder="1"/>
    <xf numFmtId="0" fontId="0" fillId="0" borderId="92" xfId="0" applyFill="1" applyBorder="1"/>
    <xf numFmtId="164" fontId="8" fillId="0" borderId="85" xfId="0" applyNumberFormat="1" applyFont="1" applyFill="1" applyBorder="1" applyAlignment="1">
      <alignment horizontal="center" vertical="center" wrapText="1"/>
    </xf>
    <xf numFmtId="164" fontId="8" fillId="0" borderId="86" xfId="0" applyNumberFormat="1" applyFont="1" applyFill="1" applyBorder="1" applyAlignment="1">
      <alignment horizontal="center" vertical="center" wrapText="1"/>
    </xf>
    <xf numFmtId="164" fontId="8" fillId="0" borderId="88" xfId="0" applyNumberFormat="1" applyFont="1" applyFill="1" applyBorder="1" applyAlignment="1">
      <alignment horizontal="center" vertical="center" wrapText="1"/>
    </xf>
    <xf numFmtId="164" fontId="8" fillId="0" borderId="89" xfId="0" applyNumberFormat="1" applyFont="1" applyFill="1" applyBorder="1" applyAlignment="1">
      <alignment horizontal="center" vertical="center" wrapText="1"/>
    </xf>
    <xf numFmtId="0" fontId="12" fillId="0" borderId="0" xfId="0" quotePrefix="1" applyFont="1" applyFill="1" applyBorder="1" applyAlignment="1">
      <alignment horizontal="left"/>
    </xf>
    <xf numFmtId="0" fontId="12" fillId="0" borderId="0" xfId="0" applyFont="1"/>
    <xf numFmtId="165" fontId="8" fillId="3" borderId="0" xfId="0" applyNumberFormat="1" applyFont="1" applyFill="1" applyBorder="1" applyAlignment="1">
      <alignment horizontal="center" vertical="center" wrapText="1"/>
    </xf>
    <xf numFmtId="165" fontId="8" fillId="6" borderId="0" xfId="0" applyNumberFormat="1" applyFont="1" applyFill="1" applyBorder="1" applyAlignment="1">
      <alignment horizontal="center" vertical="center" wrapText="1"/>
    </xf>
    <xf numFmtId="165" fontId="8" fillId="0" borderId="0" xfId="0" applyNumberFormat="1" applyFont="1" applyBorder="1" applyAlignment="1">
      <alignment horizontal="center" vertical="center" wrapText="1"/>
    </xf>
    <xf numFmtId="0" fontId="26" fillId="0" borderId="0" xfId="0" applyFont="1"/>
    <xf numFmtId="0" fontId="34" fillId="0" borderId="0" xfId="0" quotePrefix="1" applyFont="1" applyBorder="1" applyAlignment="1">
      <alignment horizontal="left"/>
    </xf>
    <xf numFmtId="0" fontId="7" fillId="9" borderId="0" xfId="0" quotePrefix="1" applyFont="1" applyFill="1" applyBorder="1" applyAlignment="1">
      <alignment horizontal="center" vertical="center" wrapText="1"/>
    </xf>
    <xf numFmtId="0" fontId="0" fillId="9" borderId="39" xfId="0" applyFill="1" applyBorder="1" applyAlignment="1">
      <alignment horizontal="center" vertical="center" wrapText="1"/>
    </xf>
    <xf numFmtId="165" fontId="0" fillId="0" borderId="8" xfId="0" applyNumberFormat="1" applyBorder="1" applyAlignment="1">
      <alignment horizontal="center"/>
    </xf>
    <xf numFmtId="165" fontId="0" fillId="0" borderId="11" xfId="0" applyNumberFormat="1" applyBorder="1" applyAlignment="1">
      <alignment horizontal="center"/>
    </xf>
    <xf numFmtId="164" fontId="8" fillId="0" borderId="93" xfId="0" applyNumberFormat="1" applyFont="1" applyFill="1" applyBorder="1" applyAlignment="1">
      <alignment horizontal="center" vertical="center" wrapText="1"/>
    </xf>
    <xf numFmtId="0" fontId="0" fillId="0" borderId="29" xfId="0" applyBorder="1"/>
    <xf numFmtId="0" fontId="3" fillId="0" borderId="30" xfId="0" applyFont="1" applyBorder="1" applyAlignment="1">
      <alignment horizontal="center"/>
    </xf>
    <xf numFmtId="0" fontId="4" fillId="0" borderId="30" xfId="0" applyFont="1" applyBorder="1" applyAlignment="1">
      <alignment horizontal="center"/>
    </xf>
    <xf numFmtId="164" fontId="8" fillId="3" borderId="94" xfId="0" applyNumberFormat="1" applyFont="1" applyFill="1" applyBorder="1" applyAlignment="1">
      <alignment horizontal="center" vertical="center" wrapText="1"/>
    </xf>
    <xf numFmtId="164" fontId="8" fillId="6" borderId="94" xfId="0" applyNumberFormat="1" applyFont="1" applyFill="1" applyBorder="1" applyAlignment="1">
      <alignment horizontal="center" vertical="center" wrapText="1"/>
    </xf>
    <xf numFmtId="164" fontId="8" fillId="0" borderId="94" xfId="0" applyNumberFormat="1" applyFont="1" applyBorder="1" applyAlignment="1">
      <alignment horizontal="center" vertical="center" wrapText="1"/>
    </xf>
    <xf numFmtId="164" fontId="8" fillId="0" borderId="94" xfId="0" applyNumberFormat="1" applyFont="1" applyFill="1" applyBorder="1" applyAlignment="1">
      <alignment horizontal="center" vertical="center" wrapText="1"/>
    </xf>
    <xf numFmtId="164" fontId="8" fillId="6" borderId="95" xfId="0" applyNumberFormat="1" applyFont="1" applyFill="1" applyBorder="1" applyAlignment="1">
      <alignment horizontal="center" vertical="center" wrapText="1"/>
    </xf>
    <xf numFmtId="9" fontId="7" fillId="0" borderId="0" xfId="0" applyNumberFormat="1" applyFont="1" applyAlignment="1">
      <alignment horizontal="center"/>
    </xf>
    <xf numFmtId="9" fontId="0" fillId="0" borderId="0" xfId="0" applyNumberFormat="1" applyAlignment="1">
      <alignment horizontal="center"/>
    </xf>
    <xf numFmtId="0" fontId="1" fillId="0" borderId="0" xfId="0" applyFont="1" applyBorder="1"/>
    <xf numFmtId="2" fontId="0" fillId="0" borderId="0" xfId="0" applyNumberFormat="1" applyAlignment="1">
      <alignment horizontal="center"/>
    </xf>
    <xf numFmtId="0" fontId="49" fillId="0" borderId="0" xfId="0" applyFont="1"/>
    <xf numFmtId="0" fontId="49" fillId="0" borderId="0" xfId="0" quotePrefix="1" applyFont="1" applyAlignment="1">
      <alignment horizontal="left"/>
    </xf>
    <xf numFmtId="0" fontId="50" fillId="0" borderId="0" xfId="0" quotePrefix="1" applyFont="1" applyAlignment="1">
      <alignment horizontal="left"/>
    </xf>
    <xf numFmtId="0" fontId="50" fillId="0" borderId="0" xfId="0" applyFont="1"/>
    <xf numFmtId="0" fontId="49" fillId="0" borderId="0" xfId="0" quotePrefix="1" applyFont="1" applyAlignment="1">
      <alignment horizontal="right"/>
    </xf>
    <xf numFmtId="0" fontId="49" fillId="0" borderId="0" xfId="0" applyFont="1" applyAlignment="1">
      <alignment horizontal="center"/>
    </xf>
    <xf numFmtId="0" fontId="49" fillId="8" borderId="96" xfId="0" applyFont="1" applyFill="1" applyBorder="1" applyAlignment="1">
      <alignment horizontal="center" wrapText="1"/>
    </xf>
    <xf numFmtId="0" fontId="49" fillId="8" borderId="97" xfId="0" applyFont="1" applyFill="1" applyBorder="1" applyAlignment="1">
      <alignment horizontal="center" wrapText="1"/>
    </xf>
    <xf numFmtId="0" fontId="49" fillId="8" borderId="100" xfId="0" applyFont="1" applyFill="1" applyBorder="1" applyAlignment="1">
      <alignment horizontal="center" wrapText="1"/>
    </xf>
    <xf numFmtId="0" fontId="49" fillId="8" borderId="101" xfId="0" applyFont="1" applyFill="1" applyBorder="1" applyAlignment="1">
      <alignment horizontal="center" wrapText="1"/>
    </xf>
    <xf numFmtId="0" fontId="51" fillId="8" borderId="97" xfId="0" applyFont="1" applyFill="1" applyBorder="1" applyAlignment="1">
      <alignment horizontal="center" wrapText="1"/>
    </xf>
    <xf numFmtId="0" fontId="49" fillId="8" borderId="102" xfId="0" applyFont="1" applyFill="1" applyBorder="1" applyAlignment="1">
      <alignment horizontal="center" wrapText="1"/>
    </xf>
    <xf numFmtId="0" fontId="51" fillId="8" borderId="103" xfId="0" applyFont="1" applyFill="1" applyBorder="1" applyAlignment="1">
      <alignment horizontal="center" wrapText="1"/>
    </xf>
    <xf numFmtId="0" fontId="51" fillId="8" borderId="96" xfId="0" applyFont="1" applyFill="1" applyBorder="1" applyAlignment="1">
      <alignment horizontal="center" wrapText="1"/>
    </xf>
    <xf numFmtId="0" fontId="52" fillId="8" borderId="96" xfId="0" applyFont="1" applyFill="1" applyBorder="1" applyAlignment="1">
      <alignment horizontal="center" wrapText="1"/>
    </xf>
    <xf numFmtId="0" fontId="53" fillId="8" borderId="97" xfId="0" applyFont="1" applyFill="1" applyBorder="1" applyAlignment="1">
      <alignment horizontal="center" wrapText="1"/>
    </xf>
    <xf numFmtId="0" fontId="53" fillId="8" borderId="103" xfId="0" applyFont="1" applyFill="1" applyBorder="1" applyAlignment="1">
      <alignment horizontal="center" wrapText="1"/>
    </xf>
    <xf numFmtId="0" fontId="53" fillId="8" borderId="96" xfId="0" applyFont="1" applyFill="1" applyBorder="1" applyAlignment="1">
      <alignment horizontal="center" wrapText="1"/>
    </xf>
    <xf numFmtId="0" fontId="54" fillId="11" borderId="104" xfId="0" applyFont="1" applyFill="1" applyBorder="1" applyAlignment="1">
      <alignment horizontal="center" wrapText="1"/>
    </xf>
    <xf numFmtId="164" fontId="51" fillId="11" borderId="0" xfId="0" applyNumberFormat="1" applyFont="1" applyFill="1" applyBorder="1" applyAlignment="1">
      <alignment horizontal="center" wrapText="1"/>
    </xf>
    <xf numFmtId="9" fontId="51" fillId="11" borderId="97" xfId="0" applyNumberFormat="1" applyFont="1" applyFill="1" applyBorder="1" applyAlignment="1">
      <alignment horizontal="center" wrapText="1"/>
    </xf>
    <xf numFmtId="2" fontId="49" fillId="11" borderId="7" xfId="0" applyNumberFormat="1" applyFont="1" applyFill="1" applyBorder="1" applyAlignment="1">
      <alignment horizontal="center" wrapText="1"/>
    </xf>
    <xf numFmtId="2" fontId="49" fillId="11" borderId="0" xfId="0" applyNumberFormat="1" applyFont="1" applyFill="1" applyBorder="1" applyAlignment="1">
      <alignment horizontal="center" wrapText="1"/>
    </xf>
    <xf numFmtId="9" fontId="51" fillId="11" borderId="103" xfId="0" applyNumberFormat="1" applyFont="1" applyFill="1" applyBorder="1" applyAlignment="1">
      <alignment horizontal="center" wrapText="1"/>
    </xf>
    <xf numFmtId="167" fontId="52" fillId="0" borderId="0" xfId="0" applyNumberFormat="1" applyFont="1" applyAlignment="1">
      <alignment horizontal="center"/>
    </xf>
    <xf numFmtId="0" fontId="54" fillId="12" borderId="96" xfId="0" applyFont="1" applyFill="1" applyBorder="1" applyAlignment="1">
      <alignment horizontal="center" wrapText="1"/>
    </xf>
    <xf numFmtId="164" fontId="51" fillId="12" borderId="0" xfId="0" applyNumberFormat="1" applyFont="1" applyFill="1" applyBorder="1" applyAlignment="1">
      <alignment horizontal="center" wrapText="1"/>
    </xf>
    <xf numFmtId="9" fontId="51" fillId="12" borderId="97" xfId="0" applyNumberFormat="1" applyFont="1" applyFill="1" applyBorder="1" applyAlignment="1">
      <alignment horizontal="center" wrapText="1"/>
    </xf>
    <xf numFmtId="2" fontId="49" fillId="12" borderId="7" xfId="0" applyNumberFormat="1" applyFont="1" applyFill="1" applyBorder="1" applyAlignment="1">
      <alignment horizontal="center" wrapText="1"/>
    </xf>
    <xf numFmtId="2" fontId="49" fillId="12" borderId="0" xfId="0" applyNumberFormat="1" applyFont="1" applyFill="1" applyBorder="1" applyAlignment="1">
      <alignment horizontal="center" wrapText="1"/>
    </xf>
    <xf numFmtId="9" fontId="51" fillId="12" borderId="103" xfId="0" applyNumberFormat="1" applyFont="1" applyFill="1" applyBorder="1" applyAlignment="1">
      <alignment horizontal="center" wrapText="1"/>
    </xf>
    <xf numFmtId="0" fontId="52" fillId="0" borderId="0" xfId="0" applyFont="1" applyAlignment="1">
      <alignment horizontal="center"/>
    </xf>
    <xf numFmtId="0" fontId="54" fillId="0" borderId="105" xfId="0" applyFont="1" applyFill="1" applyBorder="1" applyAlignment="1">
      <alignment horizontal="center" wrapText="1"/>
    </xf>
    <xf numFmtId="0" fontId="54" fillId="0" borderId="96" xfId="0" applyFont="1" applyFill="1" applyBorder="1" applyAlignment="1">
      <alignment horizontal="center" wrapText="1"/>
    </xf>
    <xf numFmtId="164" fontId="51" fillId="0" borderId="0" xfId="0" applyNumberFormat="1" applyFont="1" applyFill="1" applyBorder="1" applyAlignment="1">
      <alignment horizontal="center" wrapText="1"/>
    </xf>
    <xf numFmtId="9" fontId="51" fillId="0" borderId="97" xfId="0" applyNumberFormat="1" applyFont="1" applyFill="1" applyBorder="1" applyAlignment="1">
      <alignment horizontal="center" wrapText="1"/>
    </xf>
    <xf numFmtId="2" fontId="49" fillId="0" borderId="7" xfId="0" applyNumberFormat="1" applyFont="1" applyFill="1" applyBorder="1" applyAlignment="1">
      <alignment horizontal="center" wrapText="1"/>
    </xf>
    <xf numFmtId="2" fontId="49" fillId="0" borderId="0" xfId="0" applyNumberFormat="1" applyFont="1" applyFill="1" applyBorder="1" applyAlignment="1">
      <alignment horizontal="center" wrapText="1"/>
    </xf>
    <xf numFmtId="9" fontId="51" fillId="0" borderId="103" xfId="0" applyNumberFormat="1" applyFont="1" applyFill="1" applyBorder="1" applyAlignment="1">
      <alignment horizontal="center" wrapText="1"/>
    </xf>
    <xf numFmtId="0" fontId="52" fillId="0" borderId="0" xfId="0" applyFont="1"/>
    <xf numFmtId="9" fontId="49" fillId="0" borderId="0" xfId="0" applyNumberFormat="1" applyFont="1"/>
    <xf numFmtId="9" fontId="51" fillId="12" borderId="107" xfId="0" applyNumberFormat="1" applyFont="1" applyFill="1" applyBorder="1" applyAlignment="1">
      <alignment horizontal="center" wrapText="1"/>
    </xf>
    <xf numFmtId="2" fontId="49" fillId="12" borderId="9" xfId="0" applyNumberFormat="1" applyFont="1" applyFill="1" applyBorder="1" applyAlignment="1">
      <alignment horizontal="center" wrapText="1"/>
    </xf>
    <xf numFmtId="2" fontId="49" fillId="12" borderId="10" xfId="0" applyNumberFormat="1" applyFont="1" applyFill="1" applyBorder="1" applyAlignment="1">
      <alignment horizontal="center" wrapText="1"/>
    </xf>
    <xf numFmtId="164" fontId="51" fillId="12" borderId="10" xfId="0" applyNumberFormat="1" applyFont="1" applyFill="1" applyBorder="1" applyAlignment="1">
      <alignment horizontal="center" wrapText="1"/>
    </xf>
    <xf numFmtId="9" fontId="51" fillId="12" borderId="108" xfId="0" applyNumberFormat="1" applyFont="1" applyFill="1" applyBorder="1" applyAlignment="1">
      <alignment horizontal="center" wrapText="1"/>
    </xf>
    <xf numFmtId="167" fontId="51" fillId="11" borderId="0" xfId="0" applyNumberFormat="1" applyFont="1" applyFill="1" applyBorder="1" applyAlignment="1">
      <alignment horizontal="center" wrapText="1"/>
    </xf>
    <xf numFmtId="167" fontId="51" fillId="12" borderId="0" xfId="0" applyNumberFormat="1" applyFont="1" applyFill="1" applyBorder="1" applyAlignment="1">
      <alignment horizontal="center" wrapText="1"/>
    </xf>
    <xf numFmtId="167" fontId="51" fillId="0" borderId="0" xfId="0" applyNumberFormat="1" applyFont="1" applyFill="1" applyBorder="1" applyAlignment="1">
      <alignment horizontal="center" wrapText="1"/>
    </xf>
    <xf numFmtId="2" fontId="54" fillId="11" borderId="104" xfId="0" applyNumberFormat="1" applyFont="1" applyFill="1" applyBorder="1" applyAlignment="1">
      <alignment horizontal="center" wrapText="1"/>
    </xf>
    <xf numFmtId="2" fontId="54" fillId="11" borderId="96" xfId="0" applyNumberFormat="1" applyFont="1" applyFill="1" applyBorder="1" applyAlignment="1">
      <alignment horizontal="center" wrapText="1"/>
    </xf>
    <xf numFmtId="2" fontId="54" fillId="12" borderId="96" xfId="0" applyNumberFormat="1" applyFont="1" applyFill="1" applyBorder="1" applyAlignment="1">
      <alignment horizontal="center" wrapText="1"/>
    </xf>
    <xf numFmtId="2" fontId="54" fillId="0" borderId="105" xfId="0" applyNumberFormat="1" applyFont="1" applyFill="1" applyBorder="1" applyAlignment="1">
      <alignment horizontal="center" wrapText="1"/>
    </xf>
    <xf numFmtId="2" fontId="54" fillId="0" borderId="96" xfId="0" applyNumberFormat="1" applyFont="1" applyFill="1" applyBorder="1" applyAlignment="1">
      <alignment horizontal="center" wrapText="1"/>
    </xf>
    <xf numFmtId="2" fontId="54" fillId="0" borderId="104" xfId="0" applyNumberFormat="1" applyFont="1" applyFill="1" applyBorder="1" applyAlignment="1">
      <alignment horizontal="center" wrapText="1"/>
    </xf>
    <xf numFmtId="2" fontId="54" fillId="12" borderId="106" xfId="0" applyNumberFormat="1" applyFont="1" applyFill="1" applyBorder="1" applyAlignment="1">
      <alignment horizontal="center" wrapText="1"/>
    </xf>
    <xf numFmtId="2" fontId="54" fillId="0" borderId="106" xfId="0" applyNumberFormat="1" applyFont="1" applyFill="1" applyBorder="1" applyAlignment="1">
      <alignment horizontal="center" wrapText="1"/>
    </xf>
    <xf numFmtId="2" fontId="54" fillId="12" borderId="97" xfId="0" applyNumberFormat="1" applyFont="1" applyFill="1" applyBorder="1" applyAlignment="1">
      <alignment horizontal="center" wrapText="1"/>
    </xf>
    <xf numFmtId="0" fontId="55" fillId="8" borderId="102" xfId="0" applyFont="1" applyFill="1" applyBorder="1" applyAlignment="1">
      <alignment horizontal="center" wrapText="1"/>
    </xf>
    <xf numFmtId="0" fontId="55" fillId="8" borderId="96" xfId="0" applyFont="1" applyFill="1" applyBorder="1" applyAlignment="1">
      <alignment horizontal="center" wrapText="1"/>
    </xf>
    <xf numFmtId="166" fontId="56" fillId="8" borderId="98" xfId="0" applyNumberFormat="1" applyFont="1" applyFill="1" applyBorder="1" applyAlignment="1">
      <alignment horizontal="center" wrapText="1"/>
    </xf>
    <xf numFmtId="166" fontId="56" fillId="8" borderId="99" xfId="0" applyNumberFormat="1" applyFont="1" applyFill="1" applyBorder="1" applyAlignment="1">
      <alignment horizontal="center" wrapText="1"/>
    </xf>
    <xf numFmtId="0" fontId="49" fillId="0" borderId="0" xfId="0" quotePrefix="1" applyFont="1" applyAlignment="1">
      <alignment horizontal="center"/>
    </xf>
    <xf numFmtId="0" fontId="0" fillId="7" borderId="109" xfId="0" applyFill="1" applyBorder="1" applyAlignment="1">
      <alignment horizontal="center" vertical="center" wrapText="1"/>
    </xf>
    <xf numFmtId="0" fontId="0" fillId="0" borderId="109" xfId="0" applyBorder="1" applyAlignment="1">
      <alignment horizontal="center" vertical="center" wrapText="1"/>
    </xf>
    <xf numFmtId="0" fontId="0" fillId="13" borderId="110" xfId="0" applyFill="1" applyBorder="1" applyAlignment="1">
      <alignment horizontal="center" vertical="center" wrapText="1"/>
    </xf>
    <xf numFmtId="0" fontId="0" fillId="13" borderId="111" xfId="0" applyFill="1" applyBorder="1" applyAlignment="1">
      <alignment horizontal="center" vertical="center" wrapText="1"/>
    </xf>
    <xf numFmtId="9" fontId="0" fillId="13" borderId="112" xfId="0" applyNumberFormat="1" applyFill="1" applyBorder="1" applyAlignment="1">
      <alignment horizontal="center" vertical="center" wrapText="1"/>
    </xf>
    <xf numFmtId="0" fontId="0" fillId="7" borderId="113" xfId="0" applyFill="1" applyBorder="1" applyAlignment="1">
      <alignment horizontal="center" vertical="center" wrapText="1"/>
    </xf>
    <xf numFmtId="9" fontId="0" fillId="7" borderId="114" xfId="0" applyNumberFormat="1" applyFill="1" applyBorder="1" applyAlignment="1">
      <alignment horizontal="center" vertical="center" wrapText="1"/>
    </xf>
    <xf numFmtId="0" fontId="0" fillId="0" borderId="113" xfId="0" applyBorder="1" applyAlignment="1">
      <alignment horizontal="center" vertical="center" wrapText="1"/>
    </xf>
    <xf numFmtId="9" fontId="0" fillId="0" borderId="114" xfId="0" applyNumberFormat="1" applyBorder="1" applyAlignment="1">
      <alignment horizontal="center" vertical="center" wrapText="1"/>
    </xf>
    <xf numFmtId="0" fontId="0" fillId="7" borderId="115" xfId="0" applyFill="1" applyBorder="1" applyAlignment="1">
      <alignment horizontal="center" vertical="center" wrapText="1"/>
    </xf>
    <xf numFmtId="0" fontId="0" fillId="7" borderId="116" xfId="0" applyFill="1" applyBorder="1" applyAlignment="1">
      <alignment horizontal="center" vertical="center" wrapText="1"/>
    </xf>
    <xf numFmtId="9" fontId="0" fillId="7" borderId="117" xfId="0" applyNumberFormat="1" applyFill="1" applyBorder="1" applyAlignment="1">
      <alignment horizontal="center" vertical="center" wrapText="1"/>
    </xf>
    <xf numFmtId="2" fontId="49" fillId="11" borderId="96" xfId="0" applyNumberFormat="1" applyFont="1" applyFill="1" applyBorder="1" applyAlignment="1">
      <alignment horizontal="center" wrapText="1"/>
    </xf>
    <xf numFmtId="2" fontId="49" fillId="12" borderId="96" xfId="0" applyNumberFormat="1" applyFont="1" applyFill="1" applyBorder="1" applyAlignment="1">
      <alignment horizontal="center" wrapText="1"/>
    </xf>
    <xf numFmtId="2" fontId="49" fillId="0" borderId="96" xfId="0" applyNumberFormat="1" applyFont="1" applyFill="1" applyBorder="1" applyAlignment="1">
      <alignment horizontal="center" wrapText="1"/>
    </xf>
    <xf numFmtId="0" fontId="49" fillId="8" borderId="107" xfId="0" applyFont="1" applyFill="1" applyBorder="1" applyAlignment="1">
      <alignment horizontal="center" wrapText="1"/>
    </xf>
    <xf numFmtId="0" fontId="49" fillId="8" borderId="105" xfId="0" applyFont="1" applyFill="1" applyBorder="1" applyAlignment="1">
      <alignment horizontal="center" wrapText="1"/>
    </xf>
    <xf numFmtId="166" fontId="56" fillId="8" borderId="105" xfId="0" applyNumberFormat="1" applyFont="1" applyFill="1" applyBorder="1" applyAlignment="1">
      <alignment horizontal="center" wrapText="1"/>
    </xf>
    <xf numFmtId="0" fontId="57" fillId="0" borderId="8" xfId="0" applyFont="1" applyBorder="1" applyAlignment="1">
      <alignment horizontal="left"/>
    </xf>
    <xf numFmtId="2" fontId="0" fillId="0" borderId="0" xfId="0" applyNumberFormat="1" applyBorder="1" applyAlignment="1">
      <alignment horizontal="center"/>
    </xf>
    <xf numFmtId="0" fontId="0" fillId="0" borderId="0" xfId="0" quotePrefix="1" applyFont="1" applyBorder="1" applyAlignment="1">
      <alignment horizontal="right"/>
    </xf>
    <xf numFmtId="0" fontId="58" fillId="10" borderId="71" xfId="0" applyNumberFormat="1" applyFont="1" applyFill="1" applyBorder="1" applyAlignment="1">
      <alignment horizontal="center" vertical="center" wrapText="1"/>
    </xf>
    <xf numFmtId="0" fontId="58" fillId="7" borderId="22" xfId="0" applyFont="1" applyFill="1" applyBorder="1" applyAlignment="1">
      <alignment horizontal="center" vertical="center" wrapText="1"/>
    </xf>
    <xf numFmtId="0" fontId="58" fillId="0" borderId="22" xfId="0" applyFont="1" applyBorder="1" applyAlignment="1">
      <alignment horizontal="center" vertical="center" wrapText="1"/>
    </xf>
    <xf numFmtId="0" fontId="58" fillId="7" borderId="35" xfId="0" applyFont="1" applyFill="1" applyBorder="1" applyAlignment="1">
      <alignment horizontal="center" vertical="center" wrapText="1"/>
    </xf>
    <xf numFmtId="0" fontId="59" fillId="10" borderId="22" xfId="0" applyFont="1" applyFill="1" applyBorder="1" applyAlignment="1">
      <alignment horizontal="center" vertical="center" wrapText="1"/>
    </xf>
    <xf numFmtId="0" fontId="60" fillId="7" borderId="22" xfId="0" applyFont="1" applyFill="1" applyBorder="1" applyAlignment="1">
      <alignment horizontal="center" vertical="center" wrapText="1"/>
    </xf>
    <xf numFmtId="0" fontId="60" fillId="0" borderId="22" xfId="0" applyFont="1" applyBorder="1" applyAlignment="1">
      <alignment horizontal="center" vertical="center" wrapText="1"/>
    </xf>
    <xf numFmtId="0" fontId="60" fillId="7" borderId="35" xfId="0" applyFont="1" applyFill="1" applyBorder="1" applyAlignment="1">
      <alignment horizontal="center" vertical="center" wrapText="1"/>
    </xf>
    <xf numFmtId="164" fontId="7" fillId="3" borderId="119" xfId="0" applyNumberFormat="1" applyFont="1" applyFill="1" applyBorder="1" applyAlignment="1">
      <alignment horizontal="center"/>
    </xf>
    <xf numFmtId="164" fontId="7" fillId="6" borderId="120" xfId="0" applyNumberFormat="1" applyFont="1" applyFill="1" applyBorder="1" applyAlignment="1">
      <alignment horizontal="center"/>
    </xf>
    <xf numFmtId="164" fontId="7" fillId="0" borderId="120" xfId="0" applyNumberFormat="1" applyFont="1" applyBorder="1" applyAlignment="1">
      <alignment horizontal="center"/>
    </xf>
    <xf numFmtId="164" fontId="7" fillId="6" borderId="121" xfId="0" applyNumberFormat="1" applyFont="1" applyFill="1" applyBorder="1" applyAlignment="1">
      <alignment horizontal="center"/>
    </xf>
    <xf numFmtId="0" fontId="61" fillId="0" borderId="0" xfId="0" quotePrefix="1" applyFont="1" applyAlignment="1">
      <alignment horizontal="center"/>
    </xf>
    <xf numFmtId="0" fontId="62" fillId="0" borderId="0" xfId="0" quotePrefix="1" applyFont="1" applyAlignment="1">
      <alignment horizontal="center"/>
    </xf>
    <xf numFmtId="0" fontId="20" fillId="0" borderId="0" xfId="0" applyFont="1" applyAlignment="1">
      <alignment horizontal="center"/>
    </xf>
    <xf numFmtId="164" fontId="20" fillId="0" borderId="0" xfId="0" applyNumberFormat="1" applyFont="1" applyAlignment="1">
      <alignment horizontal="center"/>
    </xf>
    <xf numFmtId="0" fontId="16" fillId="0" borderId="0" xfId="0" applyFont="1" applyAlignment="1">
      <alignment horizontal="center"/>
    </xf>
    <xf numFmtId="0" fontId="17" fillId="0" borderId="0" xfId="0" applyFont="1" applyAlignment="1">
      <alignment horizontal="center"/>
    </xf>
    <xf numFmtId="165" fontId="12" fillId="10" borderId="0" xfId="0" applyNumberFormat="1" applyFont="1" applyFill="1" applyBorder="1" applyAlignment="1">
      <alignment horizontal="center" vertical="center" wrapText="1"/>
    </xf>
    <xf numFmtId="165" fontId="12" fillId="7" borderId="0" xfId="0" applyNumberFormat="1" applyFont="1" applyFill="1" applyBorder="1" applyAlignment="1">
      <alignment horizontal="center" vertical="center" wrapText="1"/>
    </xf>
    <xf numFmtId="165" fontId="12" fillId="0" borderId="0" xfId="0" applyNumberFormat="1" applyFont="1" applyBorder="1" applyAlignment="1">
      <alignment horizontal="center" vertical="center" wrapText="1"/>
    </xf>
    <xf numFmtId="2" fontId="49" fillId="12" borderId="106" xfId="0" applyNumberFormat="1" applyFont="1" applyFill="1" applyBorder="1" applyAlignment="1">
      <alignment horizontal="center" wrapText="1"/>
    </xf>
    <xf numFmtId="2" fontId="49" fillId="0" borderId="106" xfId="0" applyNumberFormat="1" applyFont="1" applyFill="1" applyBorder="1" applyAlignment="1">
      <alignment horizontal="center" wrapText="1"/>
    </xf>
    <xf numFmtId="2" fontId="49" fillId="12" borderId="97" xfId="0" applyNumberFormat="1" applyFont="1" applyFill="1" applyBorder="1" applyAlignment="1">
      <alignment horizontal="center" wrapText="1"/>
    </xf>
    <xf numFmtId="2" fontId="49" fillId="11" borderId="104" xfId="0" applyNumberFormat="1" applyFont="1" applyFill="1" applyBorder="1" applyAlignment="1">
      <alignment horizontal="center" wrapText="1"/>
    </xf>
    <xf numFmtId="2" fontId="2" fillId="3" borderId="0" xfId="0" applyNumberFormat="1" applyFont="1" applyFill="1" applyAlignment="1">
      <alignment horizontal="center"/>
    </xf>
    <xf numFmtId="2" fontId="2" fillId="6" borderId="0" xfId="0" applyNumberFormat="1" applyFont="1" applyFill="1" applyAlignment="1">
      <alignment horizontal="center"/>
    </xf>
    <xf numFmtId="2" fontId="7" fillId="0" borderId="0" xfId="0" applyNumberFormat="1" applyFont="1" applyFill="1" applyAlignment="1">
      <alignment horizontal="center"/>
    </xf>
    <xf numFmtId="165" fontId="0" fillId="0" borderId="0" xfId="0" applyNumberFormat="1"/>
    <xf numFmtId="2" fontId="2" fillId="0" borderId="0" xfId="0" applyNumberFormat="1" applyFont="1" applyBorder="1" applyAlignment="1">
      <alignment horizontal="center"/>
    </xf>
    <xf numFmtId="166" fontId="0" fillId="0" borderId="0" xfId="0" applyNumberFormat="1" applyBorder="1" applyAlignment="1">
      <alignment horizontal="center"/>
    </xf>
    <xf numFmtId="0" fontId="0" fillId="0" borderId="0" xfId="0" applyFill="1" applyAlignment="1">
      <alignment horizontal="center"/>
    </xf>
    <xf numFmtId="165" fontId="2" fillId="0" borderId="19" xfId="0" applyNumberFormat="1" applyFont="1" applyBorder="1" applyAlignment="1">
      <alignment horizontal="center"/>
    </xf>
    <xf numFmtId="165" fontId="2" fillId="3" borderId="19" xfId="0" applyNumberFormat="1" applyFont="1" applyFill="1" applyBorder="1" applyAlignment="1">
      <alignment horizontal="center"/>
    </xf>
    <xf numFmtId="165" fontId="2" fillId="6" borderId="19" xfId="0" applyNumberFormat="1" applyFont="1" applyFill="1" applyBorder="1" applyAlignment="1">
      <alignment horizontal="center"/>
    </xf>
    <xf numFmtId="2" fontId="2" fillId="6" borderId="20" xfId="0" applyNumberFormat="1" applyFont="1" applyFill="1" applyBorder="1" applyAlignment="1">
      <alignment horizontal="center"/>
    </xf>
    <xf numFmtId="165" fontId="2" fillId="6" borderId="20" xfId="0" applyNumberFormat="1" applyFont="1" applyFill="1" applyBorder="1" applyAlignment="1">
      <alignment horizontal="center"/>
    </xf>
    <xf numFmtId="0" fontId="21" fillId="0" borderId="0" xfId="0" applyFont="1" applyAlignment="1">
      <alignment horizontal="left"/>
    </xf>
    <xf numFmtId="0" fontId="39" fillId="9" borderId="122" xfId="0" applyFont="1" applyFill="1" applyBorder="1" applyAlignment="1">
      <alignment horizontal="center" vertical="center" wrapText="1"/>
    </xf>
    <xf numFmtId="168" fontId="7" fillId="3" borderId="0" xfId="0" applyNumberFormat="1" applyFont="1" applyFill="1" applyAlignment="1">
      <alignment horizontal="center"/>
    </xf>
    <xf numFmtId="168" fontId="7" fillId="6" borderId="0" xfId="0" applyNumberFormat="1" applyFont="1" applyFill="1" applyAlignment="1">
      <alignment horizontal="center"/>
    </xf>
    <xf numFmtId="168" fontId="7" fillId="0" borderId="0" xfId="0" applyNumberFormat="1" applyFont="1" applyAlignment="1">
      <alignment horizontal="center"/>
    </xf>
    <xf numFmtId="168" fontId="22" fillId="3" borderId="15" xfId="0" applyNumberFormat="1" applyFont="1" applyFill="1" applyBorder="1" applyAlignment="1">
      <alignment horizontal="center" vertical="center" wrapText="1"/>
    </xf>
    <xf numFmtId="168" fontId="22" fillId="6" borderId="15" xfId="0" applyNumberFormat="1" applyFont="1" applyFill="1" applyBorder="1" applyAlignment="1">
      <alignment horizontal="center" vertical="center" wrapText="1"/>
    </xf>
    <xf numFmtId="168" fontId="22" fillId="0" borderId="15" xfId="0" applyNumberFormat="1" applyFont="1" applyBorder="1" applyAlignment="1">
      <alignment horizontal="center" vertical="center" wrapText="1"/>
    </xf>
    <xf numFmtId="168" fontId="12" fillId="10" borderId="0" xfId="0" applyNumberFormat="1" applyFont="1" applyFill="1" applyBorder="1" applyAlignment="1">
      <alignment horizontal="center" vertical="center" wrapText="1"/>
    </xf>
    <xf numFmtId="168" fontId="12" fillId="7" borderId="0" xfId="0" applyNumberFormat="1" applyFont="1" applyFill="1" applyBorder="1" applyAlignment="1">
      <alignment horizontal="center" vertical="center" wrapText="1"/>
    </xf>
    <xf numFmtId="168" fontId="12" fillId="0" borderId="0" xfId="0" applyNumberFormat="1" applyFont="1" applyBorder="1" applyAlignment="1">
      <alignment horizontal="center" vertical="center" wrapText="1"/>
    </xf>
    <xf numFmtId="168" fontId="19" fillId="0" borderId="8" xfId="0" applyNumberFormat="1" applyFont="1" applyBorder="1" applyAlignment="1">
      <alignment horizontal="center"/>
    </xf>
    <xf numFmtId="168" fontId="19" fillId="0" borderId="11" xfId="0" applyNumberFormat="1" applyFont="1" applyBorder="1" applyAlignment="1">
      <alignment horizontal="center"/>
    </xf>
    <xf numFmtId="165" fontId="9" fillId="3" borderId="0" xfId="0" applyNumberFormat="1" applyFont="1" applyFill="1" applyAlignment="1">
      <alignment horizontal="center"/>
    </xf>
    <xf numFmtId="165" fontId="9" fillId="6" borderId="0" xfId="0" applyNumberFormat="1" applyFont="1" applyFill="1" applyAlignment="1">
      <alignment horizontal="center"/>
    </xf>
    <xf numFmtId="0" fontId="21" fillId="10" borderId="1" xfId="0" applyFont="1" applyFill="1" applyBorder="1" applyAlignment="1">
      <alignment horizontal="center" vertical="center" wrapText="1"/>
    </xf>
    <xf numFmtId="0" fontId="13" fillId="9" borderId="33" xfId="0" applyFont="1" applyFill="1" applyBorder="1" applyAlignment="1">
      <alignment horizontal="center" vertical="center" wrapText="1"/>
    </xf>
    <xf numFmtId="0" fontId="0" fillId="0" borderId="7" xfId="0" applyBorder="1" applyAlignment="1">
      <alignment horizontal="center"/>
    </xf>
    <xf numFmtId="9" fontId="0" fillId="0" borderId="8" xfId="0" applyNumberFormat="1" applyBorder="1" applyAlignment="1">
      <alignment horizontal="center"/>
    </xf>
    <xf numFmtId="9" fontId="0" fillId="0" borderId="11" xfId="0" applyNumberFormat="1" applyBorder="1" applyAlignment="1">
      <alignment horizontal="center"/>
    </xf>
    <xf numFmtId="0" fontId="0" fillId="0" borderId="2" xfId="0" applyBorder="1"/>
    <xf numFmtId="0" fontId="0" fillId="0" borderId="7" xfId="0" applyFill="1" applyBorder="1" applyAlignment="1">
      <alignment horizontal="center"/>
    </xf>
    <xf numFmtId="0" fontId="0" fillId="0" borderId="9" xfId="0" applyFill="1" applyBorder="1" applyAlignment="1">
      <alignment horizontal="center"/>
    </xf>
    <xf numFmtId="0" fontId="2" fillId="0" borderId="0" xfId="0" applyFont="1" applyBorder="1" applyAlignment="1">
      <alignment horizontal="center"/>
    </xf>
    <xf numFmtId="9" fontId="0" fillId="0" borderId="0" xfId="0" applyNumberFormat="1" applyBorder="1" applyAlignment="1">
      <alignment horizontal="center"/>
    </xf>
    <xf numFmtId="0" fontId="0" fillId="0" borderId="12" xfId="0" applyFill="1" applyBorder="1" applyAlignment="1">
      <alignment horizontal="center"/>
    </xf>
    <xf numFmtId="9" fontId="0" fillId="0" borderId="6" xfId="0" applyNumberForma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xf>
    <xf numFmtId="0" fontId="27" fillId="0" borderId="8" xfId="0" applyFont="1" applyBorder="1" applyAlignment="1">
      <alignment horizontal="center"/>
    </xf>
    <xf numFmtId="0" fontId="0" fillId="3" borderId="12" xfId="0" applyFill="1" applyBorder="1" applyAlignment="1">
      <alignment horizontal="center"/>
    </xf>
    <xf numFmtId="9" fontId="0" fillId="3" borderId="6" xfId="0" applyNumberFormat="1" applyFill="1" applyBorder="1" applyAlignment="1">
      <alignment horizontal="center"/>
    </xf>
    <xf numFmtId="0" fontId="0" fillId="3" borderId="9" xfId="0" applyFill="1" applyBorder="1" applyAlignment="1">
      <alignment horizontal="center"/>
    </xf>
    <xf numFmtId="9" fontId="0" fillId="3" borderId="11" xfId="0" applyNumberFormat="1" applyFill="1" applyBorder="1" applyAlignment="1">
      <alignment horizontal="center"/>
    </xf>
    <xf numFmtId="9" fontId="0" fillId="4" borderId="8" xfId="0" applyNumberFormat="1" applyFill="1" applyBorder="1" applyAlignment="1">
      <alignment horizontal="center"/>
    </xf>
    <xf numFmtId="2" fontId="21" fillId="3" borderId="0" xfId="0" applyNumberFormat="1" applyFont="1" applyFill="1" applyAlignment="1">
      <alignment horizontal="center"/>
    </xf>
    <xf numFmtId="2" fontId="21" fillId="0" borderId="0" xfId="0" applyNumberFormat="1" applyFont="1" applyFill="1" applyAlignment="1">
      <alignment horizontal="center"/>
    </xf>
    <xf numFmtId="0" fontId="64" fillId="0" borderId="0" xfId="0" quotePrefix="1" applyFont="1" applyAlignment="1">
      <alignment horizontal="left"/>
    </xf>
    <xf numFmtId="0" fontId="64" fillId="0" borderId="0" xfId="0" applyFont="1"/>
    <xf numFmtId="0" fontId="5" fillId="10" borderId="118" xfId="0" applyFont="1" applyFill="1" applyBorder="1" applyAlignment="1">
      <alignment horizontal="center" vertical="center" wrapText="1"/>
    </xf>
    <xf numFmtId="0" fontId="0" fillId="0" borderId="0" xfId="0" quotePrefix="1" applyBorder="1" applyAlignment="1">
      <alignment horizontal="left"/>
    </xf>
    <xf numFmtId="0" fontId="64" fillId="0" borderId="0" xfId="0" applyFont="1" applyFill="1" applyBorder="1"/>
    <xf numFmtId="0" fontId="34" fillId="0" borderId="5" xfId="0" quotePrefix="1" applyFont="1" applyFill="1" applyBorder="1" applyAlignment="1">
      <alignment horizontal="left"/>
    </xf>
    <xf numFmtId="0" fontId="34" fillId="0" borderId="8" xfId="0" quotePrefix="1" applyFont="1" applyFill="1" applyBorder="1" applyAlignment="1">
      <alignment horizontal="left"/>
    </xf>
    <xf numFmtId="0" fontId="13" fillId="0" borderId="0" xfId="0" quotePrefix="1" applyFont="1" applyFill="1" applyBorder="1" applyAlignment="1">
      <alignment horizontal="left"/>
    </xf>
    <xf numFmtId="0" fontId="0" fillId="8" borderId="0" xfId="0" applyFill="1" applyBorder="1" applyAlignment="1">
      <alignment horizontal="center"/>
    </xf>
    <xf numFmtId="0" fontId="0" fillId="8" borderId="12" xfId="0" applyFont="1" applyFill="1" applyBorder="1" applyAlignment="1">
      <alignment horizontal="center"/>
    </xf>
    <xf numFmtId="0" fontId="3" fillId="8" borderId="7" xfId="0" applyFont="1" applyFill="1" applyBorder="1" applyAlignment="1">
      <alignment horizontal="center"/>
    </xf>
    <xf numFmtId="0" fontId="0" fillId="8" borderId="7" xfId="0" applyFont="1" applyFill="1" applyBorder="1" applyAlignment="1">
      <alignment horizontal="center"/>
    </xf>
    <xf numFmtId="166" fontId="0" fillId="0" borderId="7" xfId="0" applyNumberFormat="1" applyBorder="1" applyAlignment="1">
      <alignment horizontal="center"/>
    </xf>
    <xf numFmtId="166" fontId="0" fillId="0" borderId="9" xfId="0" applyNumberFormat="1" applyBorder="1" applyAlignment="1">
      <alignment horizontal="center"/>
    </xf>
    <xf numFmtId="0" fontId="27" fillId="0" borderId="0" xfId="0" applyFont="1" applyAlignment="1">
      <alignment horizontal="center"/>
    </xf>
    <xf numFmtId="0" fontId="64" fillId="8" borderId="19" xfId="0" applyFont="1" applyFill="1" applyBorder="1" applyAlignment="1">
      <alignment horizontal="center"/>
    </xf>
    <xf numFmtId="2" fontId="66" fillId="0" borderId="19" xfId="0" applyNumberFormat="1" applyFont="1" applyFill="1" applyBorder="1" applyAlignment="1">
      <alignment horizontal="center"/>
    </xf>
    <xf numFmtId="2" fontId="66" fillId="0" borderId="20" xfId="0" applyNumberFormat="1" applyFont="1" applyFill="1" applyBorder="1" applyAlignment="1">
      <alignment horizontal="center"/>
    </xf>
    <xf numFmtId="0" fontId="64" fillId="0" borderId="0" xfId="0" quotePrefix="1" applyFont="1" applyFill="1" applyBorder="1" applyAlignment="1">
      <alignment horizontal="left"/>
    </xf>
    <xf numFmtId="0" fontId="0" fillId="8" borderId="6" xfId="0" applyFill="1" applyBorder="1" applyAlignment="1">
      <alignment horizontal="center"/>
    </xf>
    <xf numFmtId="0" fontId="64" fillId="8" borderId="8" xfId="0" quotePrefix="1" applyFont="1" applyFill="1" applyBorder="1" applyAlignment="1">
      <alignment horizontal="left"/>
    </xf>
    <xf numFmtId="0" fontId="0" fillId="8" borderId="8" xfId="0" applyFill="1" applyBorder="1" applyAlignment="1">
      <alignment horizontal="center"/>
    </xf>
    <xf numFmtId="2" fontId="65" fillId="0" borderId="6" xfId="0" applyNumberFormat="1" applyFont="1" applyBorder="1" applyAlignment="1">
      <alignment horizontal="center"/>
    </xf>
    <xf numFmtId="2" fontId="65" fillId="0" borderId="8" xfId="0" applyNumberFormat="1" applyFont="1" applyBorder="1" applyAlignment="1">
      <alignment horizontal="center"/>
    </xf>
    <xf numFmtId="2" fontId="65" fillId="0" borderId="11" xfId="0" applyNumberFormat="1" applyFont="1" applyBorder="1" applyAlignment="1">
      <alignment horizontal="center"/>
    </xf>
    <xf numFmtId="2" fontId="65" fillId="0" borderId="8" xfId="0" applyNumberFormat="1" applyFont="1" applyFill="1" applyBorder="1" applyAlignment="1">
      <alignment horizontal="center"/>
    </xf>
    <xf numFmtId="2" fontId="65" fillId="0" borderId="11" xfId="0" applyNumberFormat="1" applyFont="1" applyFill="1" applyBorder="1" applyAlignment="1">
      <alignment horizontal="center"/>
    </xf>
    <xf numFmtId="0" fontId="27" fillId="0" borderId="123" xfId="0" applyFont="1" applyBorder="1"/>
    <xf numFmtId="0" fontId="27" fillId="0" borderId="124" xfId="0" applyFont="1" applyBorder="1" applyAlignment="1">
      <alignment horizontal="center"/>
    </xf>
    <xf numFmtId="0" fontId="0" fillId="8" borderId="125" xfId="0" applyFill="1" applyBorder="1" applyAlignment="1">
      <alignment horizontal="center"/>
    </xf>
    <xf numFmtId="0" fontId="64" fillId="8" borderId="126" xfId="0" applyFont="1" applyFill="1" applyBorder="1" applyAlignment="1">
      <alignment horizontal="center"/>
    </xf>
    <xf numFmtId="0" fontId="0" fillId="8" borderId="126" xfId="0" applyFill="1" applyBorder="1" applyAlignment="1">
      <alignment horizontal="center"/>
    </xf>
    <xf numFmtId="2" fontId="2" fillId="0" borderId="125" xfId="0" applyNumberFormat="1" applyFont="1" applyBorder="1" applyAlignment="1">
      <alignment horizontal="center"/>
    </xf>
    <xf numFmtId="2" fontId="2" fillId="0" borderId="126" xfId="0" applyNumberFormat="1" applyFont="1" applyBorder="1" applyAlignment="1">
      <alignment horizontal="center"/>
    </xf>
    <xf numFmtId="2" fontId="2" fillId="0" borderId="124" xfId="0" applyNumberFormat="1" applyFont="1" applyBorder="1" applyAlignment="1">
      <alignment horizontal="center"/>
    </xf>
    <xf numFmtId="2" fontId="2" fillId="0" borderId="126" xfId="0" applyNumberFormat="1" applyFont="1" applyFill="1" applyBorder="1" applyAlignment="1">
      <alignment horizontal="center"/>
    </xf>
    <xf numFmtId="2" fontId="2" fillId="0" borderId="127" xfId="0" applyNumberFormat="1" applyFont="1" applyFill="1" applyBorder="1" applyAlignment="1">
      <alignment horizontal="center"/>
    </xf>
    <xf numFmtId="0" fontId="0" fillId="8" borderId="123" xfId="0" applyFill="1" applyBorder="1" applyAlignment="1">
      <alignment horizontal="center"/>
    </xf>
    <xf numFmtId="0" fontId="3" fillId="8" borderId="126" xfId="0" applyFont="1" applyFill="1" applyBorder="1" applyAlignment="1">
      <alignment horizontal="center"/>
    </xf>
    <xf numFmtId="0" fontId="64" fillId="0" borderId="0" xfId="0" quotePrefix="1" applyFont="1" applyAlignment="1">
      <alignment horizontal="right"/>
    </xf>
    <xf numFmtId="0" fontId="5" fillId="0" borderId="0" xfId="0" quotePrefix="1" applyFont="1" applyAlignment="1">
      <alignment horizontal="left"/>
    </xf>
    <xf numFmtId="0" fontId="38" fillId="9" borderId="33" xfId="0" quotePrefix="1" applyFont="1" applyFill="1" applyBorder="1" applyAlignment="1">
      <alignment horizontal="center" vertical="center"/>
    </xf>
    <xf numFmtId="0" fontId="18" fillId="9" borderId="22" xfId="0" quotePrefix="1" applyFont="1" applyFill="1" applyBorder="1" applyAlignment="1">
      <alignment horizontal="center" vertical="center"/>
    </xf>
    <xf numFmtId="0" fontId="18" fillId="9" borderId="35" xfId="0" quotePrefix="1" applyFont="1" applyFill="1" applyBorder="1" applyAlignment="1">
      <alignment horizontal="center" vertical="center"/>
    </xf>
    <xf numFmtId="0" fontId="67" fillId="0" borderId="0" xfId="0" quotePrefix="1" applyFont="1" applyAlignment="1">
      <alignment horizontal="left"/>
    </xf>
    <xf numFmtId="0" fontId="67" fillId="0" borderId="0" xfId="0" quotePrefix="1" applyFont="1" applyFill="1" applyBorder="1" applyAlignment="1">
      <alignment horizontal="left"/>
    </xf>
    <xf numFmtId="0" fontId="67" fillId="0" borderId="0" xfId="0" applyFont="1" applyFill="1" applyBorder="1"/>
    <xf numFmtId="165" fontId="8" fillId="6" borderId="128" xfId="0" applyNumberFormat="1" applyFont="1" applyFill="1" applyBorder="1" applyAlignment="1">
      <alignment horizontal="center" vertical="center" wrapText="1"/>
    </xf>
    <xf numFmtId="165" fontId="7" fillId="3" borderId="19" xfId="0" applyNumberFormat="1" applyFont="1" applyFill="1" applyBorder="1" applyAlignment="1">
      <alignment horizontal="center"/>
    </xf>
    <xf numFmtId="165" fontId="7" fillId="6" borderId="19" xfId="0" applyNumberFormat="1" applyFont="1" applyFill="1" applyBorder="1" applyAlignment="1">
      <alignment horizontal="center"/>
    </xf>
    <xf numFmtId="165" fontId="7" fillId="0" borderId="19" xfId="0" applyNumberFormat="1" applyFont="1" applyBorder="1" applyAlignment="1">
      <alignment horizontal="center"/>
    </xf>
    <xf numFmtId="0" fontId="2" fillId="8" borderId="19" xfId="0" applyFont="1" applyFill="1" applyBorder="1" applyAlignment="1">
      <alignment horizontal="center"/>
    </xf>
    <xf numFmtId="0" fontId="0" fillId="0" borderId="0" xfId="0" quotePrefix="1" applyFont="1" applyBorder="1" applyAlignment="1">
      <alignment horizontal="center"/>
    </xf>
    <xf numFmtId="0" fontId="0" fillId="0" borderId="8" xfId="0" quotePrefix="1" applyFont="1" applyBorder="1" applyAlignment="1">
      <alignment horizontal="right"/>
    </xf>
    <xf numFmtId="0" fontId="0" fillId="0" borderId="0" xfId="0" applyFont="1" applyBorder="1" applyAlignment="1">
      <alignment horizontal="center"/>
    </xf>
    <xf numFmtId="0" fontId="7" fillId="0" borderId="0" xfId="0" quotePrefix="1" applyFont="1" applyBorder="1" applyAlignment="1">
      <alignment horizontal="center"/>
    </xf>
    <xf numFmtId="0" fontId="0" fillId="0" borderId="8" xfId="0" quotePrefix="1" applyFont="1" applyBorder="1" applyAlignment="1">
      <alignment horizontal="center"/>
    </xf>
    <xf numFmtId="0" fontId="0" fillId="8" borderId="7" xfId="0" applyFill="1" applyBorder="1"/>
    <xf numFmtId="0" fontId="0" fillId="8" borderId="7" xfId="0" applyFill="1" applyBorder="1" applyAlignment="1">
      <alignment horizontal="center"/>
    </xf>
    <xf numFmtId="0" fontId="0" fillId="8" borderId="9" xfId="0" applyFill="1" applyBorder="1" applyAlignment="1">
      <alignment horizontal="center"/>
    </xf>
    <xf numFmtId="0" fontId="3" fillId="0" borderId="2" xfId="0" quotePrefix="1" applyFont="1" applyBorder="1" applyAlignment="1">
      <alignment horizontal="left"/>
    </xf>
    <xf numFmtId="0" fontId="0" fillId="0" borderId="3" xfId="0" applyBorder="1"/>
    <xf numFmtId="0" fontId="0" fillId="0" borderId="3" xfId="0" quotePrefix="1" applyBorder="1" applyAlignment="1">
      <alignment horizontal="left"/>
    </xf>
    <xf numFmtId="2" fontId="2"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165" fontId="2" fillId="0" borderId="0" xfId="0" applyNumberFormat="1" applyFont="1" applyFill="1" applyBorder="1" applyAlignment="1">
      <alignment horizontal="center"/>
    </xf>
    <xf numFmtId="165" fontId="27" fillId="0" borderId="0" xfId="0" applyNumberFormat="1" applyFont="1" applyFill="1" applyBorder="1" applyAlignment="1">
      <alignment horizontal="center"/>
    </xf>
    <xf numFmtId="0" fontId="2" fillId="0" borderId="0" xfId="0" applyFont="1" applyFill="1" applyBorder="1" applyAlignment="1">
      <alignment horizontal="center"/>
    </xf>
    <xf numFmtId="0" fontId="3" fillId="0" borderId="12" xfId="0" quotePrefix="1" applyFont="1" applyFill="1" applyBorder="1" applyAlignment="1">
      <alignment horizontal="left"/>
    </xf>
    <xf numFmtId="0" fontId="0" fillId="0" borderId="5" xfId="0" quotePrefix="1" applyFill="1" applyBorder="1" applyAlignment="1">
      <alignment horizontal="left"/>
    </xf>
    <xf numFmtId="0" fontId="0" fillId="0" borderId="9" xfId="0" applyFill="1" applyBorder="1"/>
    <xf numFmtId="0" fontId="0" fillId="0" borderId="10" xfId="0" applyFill="1" applyBorder="1"/>
    <xf numFmtId="0" fontId="0" fillId="0" borderId="11" xfId="0" applyFill="1" applyBorder="1"/>
    <xf numFmtId="0" fontId="0" fillId="0" borderId="9" xfId="0" quotePrefix="1" applyFill="1" applyBorder="1" applyAlignment="1">
      <alignment horizontal="left"/>
    </xf>
    <xf numFmtId="2" fontId="7" fillId="3" borderId="19" xfId="0" applyNumberFormat="1" applyFont="1" applyFill="1" applyBorder="1" applyAlignment="1">
      <alignment horizontal="center"/>
    </xf>
    <xf numFmtId="165" fontId="27" fillId="3" borderId="126" xfId="0" applyNumberFormat="1" applyFont="1" applyFill="1" applyBorder="1" applyAlignment="1">
      <alignment horizontal="center"/>
    </xf>
    <xf numFmtId="165" fontId="27" fillId="6" borderId="126" xfId="0" applyNumberFormat="1" applyFont="1" applyFill="1" applyBorder="1" applyAlignment="1">
      <alignment horizontal="center"/>
    </xf>
    <xf numFmtId="165" fontId="27" fillId="0" borderId="126" xfId="0" applyNumberFormat="1" applyFont="1" applyBorder="1" applyAlignment="1">
      <alignment horizontal="center"/>
    </xf>
    <xf numFmtId="165" fontId="27" fillId="6" borderId="127" xfId="0" applyNumberFormat="1" applyFont="1" applyFill="1" applyBorder="1" applyAlignment="1">
      <alignment horizontal="center"/>
    </xf>
    <xf numFmtId="0" fontId="21" fillId="0" borderId="34" xfId="0" applyFont="1" applyFill="1" applyBorder="1" applyAlignment="1">
      <alignment horizontal="center" vertical="center"/>
    </xf>
    <xf numFmtId="0" fontId="21" fillId="0" borderId="0" xfId="0" applyFont="1" applyAlignment="1">
      <alignment horizontal="center" vertical="center"/>
    </xf>
    <xf numFmtId="49" fontId="5" fillId="3" borderId="0" xfId="0" quotePrefix="1" applyNumberFormat="1" applyFont="1" applyFill="1" applyBorder="1" applyAlignment="1">
      <alignment horizontal="left"/>
    </xf>
    <xf numFmtId="0" fontId="5" fillId="0" borderId="0" xfId="0" applyFont="1" applyFill="1" applyBorder="1" applyAlignment="1">
      <alignment horizontal="left"/>
    </xf>
    <xf numFmtId="0" fontId="3" fillId="0" borderId="12" xfId="0" applyFont="1" applyBorder="1"/>
    <xf numFmtId="0" fontId="35" fillId="0" borderId="5" xfId="0" applyFont="1" applyBorder="1"/>
    <xf numFmtId="0" fontId="35" fillId="0" borderId="0" xfId="0" applyFont="1" applyBorder="1"/>
    <xf numFmtId="0" fontId="13" fillId="0" borderId="7" xfId="0" quotePrefix="1" applyFont="1" applyBorder="1" applyAlignment="1">
      <alignment horizontal="left"/>
    </xf>
    <xf numFmtId="0" fontId="7" fillId="0" borderId="0" xfId="0" applyFont="1" applyBorder="1"/>
    <xf numFmtId="0" fontId="7" fillId="0" borderId="7" xfId="0" applyFont="1" applyBorder="1" applyAlignment="1">
      <alignment horizontal="center"/>
    </xf>
    <xf numFmtId="0" fontId="7" fillId="0" borderId="0" xfId="0" quotePrefix="1" applyFont="1" applyBorder="1" applyAlignment="1">
      <alignment horizontal="left"/>
    </xf>
    <xf numFmtId="0" fontId="7" fillId="0" borderId="7" xfId="0" quotePrefix="1" applyFont="1" applyBorder="1" applyAlignment="1">
      <alignment horizontal="left"/>
    </xf>
    <xf numFmtId="0" fontId="7" fillId="0" borderId="9" xfId="0" quotePrefix="1" applyFont="1" applyBorder="1" applyAlignment="1">
      <alignment horizontal="left"/>
    </xf>
    <xf numFmtId="0" fontId="7" fillId="0" borderId="10" xfId="0" applyFont="1" applyBorder="1"/>
    <xf numFmtId="0" fontId="35" fillId="0" borderId="10" xfId="0" applyFont="1" applyBorder="1"/>
    <xf numFmtId="0" fontId="0" fillId="0" borderId="11" xfId="0" quotePrefix="1" applyBorder="1" applyAlignment="1">
      <alignment horizontal="left"/>
    </xf>
    <xf numFmtId="164" fontId="0" fillId="0" borderId="9" xfId="0" applyNumberFormat="1" applyBorder="1"/>
    <xf numFmtId="167" fontId="20" fillId="0" borderId="9" xfId="0" applyNumberFormat="1" applyFont="1" applyBorder="1"/>
    <xf numFmtId="0" fontId="20" fillId="0" borderId="12" xfId="0" quotePrefix="1" applyFont="1" applyBorder="1" applyAlignment="1">
      <alignment horizontal="right"/>
    </xf>
    <xf numFmtId="0" fontId="0" fillId="8" borderId="0" xfId="0" applyFill="1" applyBorder="1"/>
    <xf numFmtId="167" fontId="20" fillId="0" borderId="0" xfId="0" applyNumberFormat="1" applyFont="1" applyBorder="1"/>
    <xf numFmtId="167" fontId="0" fillId="0" borderId="0" xfId="0" applyNumberFormat="1" applyBorder="1"/>
    <xf numFmtId="167" fontId="0" fillId="0" borderId="10" xfId="0" applyNumberFormat="1" applyBorder="1"/>
    <xf numFmtId="167" fontId="0" fillId="0" borderId="0" xfId="0" applyNumberFormat="1" applyAlignment="1">
      <alignment horizontal="center"/>
    </xf>
    <xf numFmtId="0" fontId="3" fillId="8" borderId="19" xfId="0" quotePrefix="1" applyFont="1" applyFill="1" applyBorder="1" applyAlignment="1">
      <alignment horizontal="center"/>
    </xf>
    <xf numFmtId="2" fontId="7" fillId="8" borderId="0" xfId="0" applyNumberFormat="1" applyFont="1" applyFill="1" applyBorder="1" applyAlignment="1">
      <alignment horizontal="center"/>
    </xf>
    <xf numFmtId="165" fontId="2" fillId="8" borderId="0" xfId="0" applyNumberFormat="1" applyFont="1" applyFill="1" applyBorder="1" applyAlignment="1">
      <alignment horizontal="center"/>
    </xf>
    <xf numFmtId="2" fontId="7" fillId="6" borderId="0" xfId="0" applyNumberFormat="1" applyFont="1" applyFill="1" applyBorder="1" applyAlignment="1">
      <alignment horizontal="center"/>
    </xf>
    <xf numFmtId="2" fontId="2" fillId="6" borderId="19" xfId="0" applyNumberFormat="1" applyFont="1" applyFill="1" applyBorder="1" applyAlignment="1">
      <alignment horizontal="center"/>
    </xf>
    <xf numFmtId="166" fontId="0" fillId="6" borderId="19" xfId="0" applyNumberFormat="1" applyFill="1" applyBorder="1" applyAlignment="1">
      <alignment horizontal="center"/>
    </xf>
    <xf numFmtId="166" fontId="0" fillId="6" borderId="20" xfId="0" applyNumberFormat="1" applyFill="1" applyBorder="1" applyAlignment="1">
      <alignment horizontal="center"/>
    </xf>
    <xf numFmtId="0" fontId="7" fillId="0" borderId="69" xfId="0" applyFont="1" applyFill="1" applyBorder="1" applyAlignment="1">
      <alignment horizontal="center"/>
    </xf>
    <xf numFmtId="165" fontId="2" fillId="0" borderId="19" xfId="0" applyNumberFormat="1" applyFont="1" applyFill="1" applyBorder="1" applyAlignment="1">
      <alignment horizontal="center"/>
    </xf>
    <xf numFmtId="165" fontId="7" fillId="0" borderId="19" xfId="0" applyNumberFormat="1" applyFont="1" applyFill="1" applyBorder="1" applyAlignment="1">
      <alignment horizontal="center"/>
    </xf>
    <xf numFmtId="165" fontId="7" fillId="6" borderId="20" xfId="0" applyNumberFormat="1" applyFont="1" applyFill="1" applyBorder="1" applyAlignment="1">
      <alignment horizontal="center"/>
    </xf>
    <xf numFmtId="0" fontId="68" fillId="0" borderId="2" xfId="0" quotePrefix="1" applyFont="1" applyBorder="1" applyAlignment="1">
      <alignment horizontal="left"/>
    </xf>
    <xf numFmtId="1" fontId="47" fillId="0" borderId="0" xfId="0" applyNumberFormat="1" applyFont="1" applyFill="1" applyBorder="1" applyAlignment="1">
      <alignment horizontal="center" vertical="center" wrapText="1"/>
    </xf>
    <xf numFmtId="166" fontId="47" fillId="0" borderId="0" xfId="0" applyNumberFormat="1" applyFont="1" applyFill="1" applyBorder="1" applyAlignment="1">
      <alignment horizontal="center" vertical="center" wrapText="1"/>
    </xf>
    <xf numFmtId="0" fontId="48" fillId="0" borderId="0" xfId="0" quotePrefix="1" applyNumberFormat="1" applyFont="1" applyFill="1" applyBorder="1" applyAlignment="1">
      <alignment horizontal="left" vertical="center" readingOrder="1"/>
    </xf>
    <xf numFmtId="166" fontId="47" fillId="0" borderId="0" xfId="0" applyNumberFormat="1" applyFont="1" applyFill="1" applyBorder="1" applyAlignment="1">
      <alignment horizontal="left" vertical="center" wrapText="1"/>
    </xf>
    <xf numFmtId="0" fontId="69" fillId="0" borderId="0" xfId="0" applyFont="1" applyBorder="1" applyAlignment="1">
      <alignment horizontal="left"/>
    </xf>
    <xf numFmtId="0" fontId="69" fillId="0" borderId="0" xfId="0" applyFont="1" applyAlignment="1">
      <alignment horizontal="left"/>
    </xf>
    <xf numFmtId="165" fontId="12" fillId="6" borderId="0" xfId="0" applyNumberFormat="1" applyFont="1" applyFill="1" applyBorder="1" applyAlignment="1">
      <alignment horizontal="center" vertical="center" wrapText="1"/>
    </xf>
    <xf numFmtId="165" fontId="12" fillId="0" borderId="0" xfId="0"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1" fontId="0" fillId="0" borderId="0" xfId="0" applyNumberFormat="1" applyFill="1" applyBorder="1" applyAlignment="1">
      <alignment horizontal="center" vertical="center" wrapText="1"/>
    </xf>
    <xf numFmtId="165" fontId="8" fillId="0" borderId="0" xfId="0" applyNumberFormat="1" applyFont="1" applyFill="1" applyBorder="1" applyAlignment="1">
      <alignment horizontal="center" vertical="center" wrapText="1"/>
    </xf>
    <xf numFmtId="2" fontId="8" fillId="0" borderId="8" xfId="0" applyNumberFormat="1" applyFont="1" applyFill="1" applyBorder="1" applyAlignment="1">
      <alignment horizontal="center" vertical="center" wrapText="1"/>
    </xf>
    <xf numFmtId="0" fontId="0" fillId="0" borderId="0" xfId="0" applyFont="1" applyBorder="1"/>
    <xf numFmtId="0" fontId="0" fillId="0" borderId="8" xfId="0" applyFont="1" applyBorder="1"/>
    <xf numFmtId="0" fontId="0" fillId="0" borderId="0" xfId="0" quotePrefix="1" applyFont="1" applyBorder="1" applyAlignment="1">
      <alignment horizontal="left"/>
    </xf>
    <xf numFmtId="0" fontId="0" fillId="0" borderId="10" xfId="0" applyFont="1" applyBorder="1"/>
    <xf numFmtId="0" fontId="0" fillId="0" borderId="11" xfId="0" applyFont="1" applyBorder="1"/>
    <xf numFmtId="0" fontId="40" fillId="0" borderId="0" xfId="0" quotePrefix="1" applyFont="1" applyBorder="1" applyAlignment="1">
      <alignment horizontal="left"/>
    </xf>
    <xf numFmtId="0" fontId="70" fillId="0" borderId="0" xfId="0" applyFont="1" applyBorder="1"/>
    <xf numFmtId="0" fontId="0" fillId="0" borderId="0" xfId="0" quotePrefix="1" applyFont="1" applyFill="1" applyBorder="1" applyAlignment="1">
      <alignment horizontal="left"/>
    </xf>
    <xf numFmtId="0" fontId="0" fillId="0" borderId="0" xfId="0" applyFont="1" applyFill="1" applyBorder="1"/>
    <xf numFmtId="0" fontId="40" fillId="0" borderId="0" xfId="0" quotePrefix="1" applyFont="1" applyFill="1" applyBorder="1" applyAlignment="1">
      <alignment horizontal="left"/>
    </xf>
    <xf numFmtId="0" fontId="40" fillId="0" borderId="0" xfId="0" applyFont="1" applyFill="1" applyBorder="1"/>
    <xf numFmtId="0" fontId="40" fillId="0" borderId="0" xfId="0" applyFont="1" applyFill="1" applyBorder="1" applyAlignment="1">
      <alignment horizontal="left"/>
    </xf>
    <xf numFmtId="0" fontId="0" fillId="0" borderId="0" xfId="0" applyFont="1" applyFill="1" applyBorder="1" applyAlignment="1">
      <alignment horizontal="left"/>
    </xf>
    <xf numFmtId="0" fontId="17" fillId="0" borderId="0" xfId="0" applyFont="1"/>
    <xf numFmtId="0" fontId="17" fillId="0" borderId="0" xfId="0" applyFont="1" applyFill="1" applyBorder="1"/>
    <xf numFmtId="0" fontId="21" fillId="0" borderId="0" xfId="0" quotePrefix="1" applyFont="1" applyAlignment="1">
      <alignment horizontal="center" vertical="center"/>
    </xf>
    <xf numFmtId="0" fontId="71" fillId="0" borderId="0" xfId="0" quotePrefix="1" applyFont="1" applyFill="1" applyBorder="1" applyAlignment="1">
      <alignment horizontal="left"/>
    </xf>
    <xf numFmtId="0" fontId="43" fillId="0" borderId="0" xfId="0" quotePrefix="1" applyFont="1" applyFill="1" applyBorder="1" applyAlignment="1">
      <alignment horizontal="left"/>
    </xf>
    <xf numFmtId="0" fontId="0" fillId="0" borderId="0" xfId="0" quotePrefix="1" applyFill="1" applyBorder="1" applyAlignment="1">
      <alignment horizontal="left"/>
    </xf>
    <xf numFmtId="0" fontId="7" fillId="0" borderId="0" xfId="0" applyFont="1" applyFill="1" applyBorder="1" applyAlignment="1">
      <alignment horizontal="left"/>
    </xf>
    <xf numFmtId="0" fontId="10" fillId="0" borderId="0" xfId="0" applyFont="1" applyFill="1" applyBorder="1" applyAlignment="1">
      <alignment horizontal="left"/>
    </xf>
    <xf numFmtId="0" fontId="10" fillId="0" borderId="0" xfId="0" applyFont="1" applyBorder="1"/>
    <xf numFmtId="0" fontId="10" fillId="0" borderId="0" xfId="0" applyFont="1"/>
    <xf numFmtId="0" fontId="26" fillId="0" borderId="0" xfId="0" applyFont="1" applyBorder="1"/>
    <xf numFmtId="0" fontId="72" fillId="0" borderId="0" xfId="0" quotePrefix="1" applyFont="1" applyAlignment="1">
      <alignment horizontal="left"/>
    </xf>
    <xf numFmtId="0" fontId="73" fillId="0" borderId="0" xfId="0" quotePrefix="1" applyFont="1" applyAlignment="1">
      <alignment horizontal="center"/>
    </xf>
    <xf numFmtId="165" fontId="0" fillId="0" borderId="18" xfId="0" applyNumberFormat="1" applyBorder="1" applyAlignment="1">
      <alignment horizontal="center"/>
    </xf>
    <xf numFmtId="0" fontId="74" fillId="0" borderId="0" xfId="0" applyFont="1"/>
    <xf numFmtId="0" fontId="74" fillId="0" borderId="0" xfId="0" quotePrefix="1" applyFont="1" applyAlignment="1">
      <alignment horizontal="left"/>
    </xf>
    <xf numFmtId="2" fontId="75" fillId="0" borderId="8" xfId="0" applyNumberFormat="1" applyFont="1" applyFill="1" applyBorder="1" applyAlignment="1">
      <alignment horizontal="center" vertical="center" wrapText="1"/>
    </xf>
    <xf numFmtId="2" fontId="75" fillId="6" borderId="8" xfId="0" applyNumberFormat="1" applyFont="1" applyFill="1" applyBorder="1" applyAlignment="1">
      <alignment horizontal="center" vertical="center" wrapText="1"/>
    </xf>
    <xf numFmtId="0" fontId="76" fillId="0" borderId="0" xfId="0" quotePrefix="1" applyFont="1" applyBorder="1" applyAlignment="1">
      <alignment horizontal="left"/>
    </xf>
    <xf numFmtId="0" fontId="0" fillId="0" borderId="12" xfId="0" applyBorder="1" applyAlignment="1">
      <alignment horizontal="center"/>
    </xf>
    <xf numFmtId="0" fontId="0" fillId="0" borderId="5" xfId="0" applyBorder="1" applyAlignment="1">
      <alignment horizontal="center"/>
    </xf>
    <xf numFmtId="2" fontId="0" fillId="0" borderId="8" xfId="0" applyNumberFormat="1" applyBorder="1" applyAlignment="1">
      <alignment horizontal="center"/>
    </xf>
    <xf numFmtId="0" fontId="0" fillId="14" borderId="10" xfId="0" applyFill="1" applyBorder="1" applyAlignment="1">
      <alignment horizontal="center"/>
    </xf>
    <xf numFmtId="164" fontId="0" fillId="14" borderId="10" xfId="0" applyNumberFormat="1" applyFill="1" applyBorder="1"/>
    <xf numFmtId="2" fontId="0" fillId="0" borderId="10" xfId="0" applyNumberFormat="1" applyBorder="1" applyAlignment="1">
      <alignment horizontal="center"/>
    </xf>
    <xf numFmtId="0" fontId="0" fillId="14" borderId="10" xfId="0" applyFill="1" applyBorder="1"/>
    <xf numFmtId="2" fontId="0" fillId="0" borderId="11" xfId="0" applyNumberFormat="1" applyBorder="1" applyAlignment="1">
      <alignment horizontal="center"/>
    </xf>
    <xf numFmtId="0" fontId="77" fillId="8" borderId="0" xfId="0" applyFont="1" applyFill="1" applyAlignment="1">
      <alignment horizontal="center"/>
    </xf>
    <xf numFmtId="164" fontId="77" fillId="0" borderId="0" xfId="0" applyNumberFormat="1" applyFont="1" applyAlignment="1">
      <alignment horizontal="center"/>
    </xf>
    <xf numFmtId="0" fontId="78" fillId="8" borderId="0" xfId="0" applyFont="1" applyFill="1" applyAlignment="1">
      <alignment horizontal="center"/>
    </xf>
    <xf numFmtId="169" fontId="79" fillId="0" borderId="0" xfId="0" applyNumberFormat="1" applyFont="1" applyAlignment="1">
      <alignment horizontal="center"/>
    </xf>
    <xf numFmtId="168" fontId="79" fillId="0" borderId="0" xfId="0" applyNumberFormat="1" applyFont="1" applyAlignment="1">
      <alignment horizontal="center"/>
    </xf>
    <xf numFmtId="164" fontId="78" fillId="0" borderId="0" xfId="0" applyNumberFormat="1" applyFont="1" applyAlignment="1">
      <alignment horizontal="center"/>
    </xf>
    <xf numFmtId="0" fontId="0" fillId="14" borderId="0" xfId="0" applyFill="1" applyBorder="1"/>
    <xf numFmtId="0" fontId="0" fillId="14" borderId="0" xfId="0" applyFill="1" applyBorder="1" applyAlignment="1">
      <alignment horizontal="center"/>
    </xf>
    <xf numFmtId="164" fontId="0" fillId="14" borderId="0" xfId="0" applyNumberFormat="1" applyFill="1" applyBorder="1"/>
  </cellXfs>
  <cellStyles count="1">
    <cellStyle name="Normal" xfId="0" builtinId="0"/>
  </cellStyles>
  <dxfs count="0"/>
  <tableStyles count="0" defaultTableStyle="TableStyleMedium2" defaultPivotStyle="PivotStyleLight16"/>
  <colors>
    <mruColors>
      <color rgb="FFFF99CC"/>
      <color rgb="FFFFFFCC"/>
      <color rgb="FFFFFF99"/>
      <color rgb="FF008000"/>
      <color rgb="FFBC59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0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czeta_bkwd_3075s_actual_v1!$B$30:$B$39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czeta_bkwd_3075s_actual_v1!$C$30:$C$39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09AE-428E-B23C-D989ED3D3432}"/>
            </c:ext>
          </c:extLst>
        </c:ser>
        <c:dLbls>
          <c:showLegendKey val="0"/>
          <c:showVal val="0"/>
          <c:showCatName val="0"/>
          <c:showSerName val="0"/>
          <c:showPercent val="0"/>
          <c:showBubbleSize val="0"/>
        </c:dLbls>
        <c:axId val="102530432"/>
        <c:axId val="78537856"/>
      </c:scatterChart>
      <c:valAx>
        <c:axId val="102530432"/>
        <c:scaling>
          <c:orientation val="minMax"/>
        </c:scaling>
        <c:delete val="0"/>
        <c:axPos val="b"/>
        <c:numFmt formatCode="General" sourceLinked="1"/>
        <c:majorTickMark val="out"/>
        <c:minorTickMark val="none"/>
        <c:tickLblPos val="nextTo"/>
        <c:crossAx val="78537856"/>
        <c:crosses val="autoZero"/>
        <c:crossBetween val="midCat"/>
      </c:valAx>
      <c:valAx>
        <c:axId val="78537856"/>
        <c:scaling>
          <c:orientation val="minMax"/>
        </c:scaling>
        <c:delete val="0"/>
        <c:axPos val="l"/>
        <c:majorGridlines/>
        <c:numFmt formatCode="0.00" sourceLinked="1"/>
        <c:majorTickMark val="out"/>
        <c:minorTickMark val="none"/>
        <c:tickLblPos val="nextTo"/>
        <c:crossAx val="102530432"/>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czeta_bkwd_3075s_trend_v2!$H$78:$H$87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czeta_bkwd_3075s_trend_v2!$I$78:$I$87</c:f>
              <c:numCache>
                <c:formatCode>0.0</c:formatCode>
                <c:ptCount val="10"/>
                <c:pt idx="0">
                  <c:v>22.561072215074457</c:v>
                </c:pt>
                <c:pt idx="1">
                  <c:v>44.027816103748464</c:v>
                </c:pt>
                <c:pt idx="2">
                  <c:v>62.133501985144932</c:v>
                </c:pt>
                <c:pt idx="3">
                  <c:v>77.544130995887613</c:v>
                </c:pt>
                <c:pt idx="4">
                  <c:v>90.925704272600271</c:v>
                </c:pt>
                <c:pt idx="5">
                  <c:v>150.71174435662925</c:v>
                </c:pt>
                <c:pt idx="6">
                  <c:v>252.13714285714292</c:v>
                </c:pt>
                <c:pt idx="7">
                  <c:v>340.1942857142858</c:v>
                </c:pt>
                <c:pt idx="8">
                  <c:v>420.33714285714279</c:v>
                </c:pt>
                <c:pt idx="9">
                  <c:v>498.01571428571424</c:v>
                </c:pt>
              </c:numCache>
            </c:numRef>
          </c:yVal>
          <c:smooth val="0"/>
          <c:extLst>
            <c:ext xmlns:c16="http://schemas.microsoft.com/office/drawing/2014/chart" uri="{C3380CC4-5D6E-409C-BE32-E72D297353CC}">
              <c16:uniqueId val="{00000000-BBC6-4920-B876-02F86DD409CA}"/>
            </c:ext>
          </c:extLst>
        </c:ser>
        <c:dLbls>
          <c:showLegendKey val="0"/>
          <c:showVal val="0"/>
          <c:showCatName val="0"/>
          <c:showSerName val="0"/>
          <c:showPercent val="0"/>
          <c:showBubbleSize val="0"/>
        </c:dLbls>
        <c:axId val="109710336"/>
        <c:axId val="109728512"/>
      </c:scatterChart>
      <c:valAx>
        <c:axId val="109710336"/>
        <c:scaling>
          <c:orientation val="minMax"/>
        </c:scaling>
        <c:delete val="0"/>
        <c:axPos val="b"/>
        <c:numFmt formatCode="General" sourceLinked="1"/>
        <c:majorTickMark val="out"/>
        <c:minorTickMark val="none"/>
        <c:tickLblPos val="nextTo"/>
        <c:crossAx val="109728512"/>
        <c:crosses val="autoZero"/>
        <c:crossBetween val="midCat"/>
      </c:valAx>
      <c:valAx>
        <c:axId val="109728512"/>
        <c:scaling>
          <c:orientation val="minMax"/>
        </c:scaling>
        <c:delete val="0"/>
        <c:axPos val="l"/>
        <c:majorGridlines/>
        <c:numFmt formatCode="0.0" sourceLinked="1"/>
        <c:majorTickMark val="out"/>
        <c:minorTickMark val="none"/>
        <c:tickLblPos val="nextTo"/>
        <c:crossAx val="1097103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(3)'!$H$134:$H$143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(3)'!$I$134:$I$143</c:f>
              <c:numCache>
                <c:formatCode>0.0</c:formatCode>
                <c:ptCount val="10"/>
                <c:pt idx="0">
                  <c:v>32.00714285714286</c:v>
                </c:pt>
                <c:pt idx="1">
                  <c:v>65.471428571428532</c:v>
                </c:pt>
                <c:pt idx="2">
                  <c:v>88.542857142857116</c:v>
                </c:pt>
                <c:pt idx="3">
                  <c:v>105.47142857142862</c:v>
                </c:pt>
                <c:pt idx="4">
                  <c:v>120.5071428571429</c:v>
                </c:pt>
                <c:pt idx="5">
                  <c:v>186.84142857142859</c:v>
                </c:pt>
                <c:pt idx="6">
                  <c:v>307.93428571428575</c:v>
                </c:pt>
                <c:pt idx="7">
                  <c:v>412.44857142857143</c:v>
                </c:pt>
                <c:pt idx="8">
                  <c:v>507.93428571428569</c:v>
                </c:pt>
                <c:pt idx="9">
                  <c:v>601.94142857142856</c:v>
                </c:pt>
              </c:numCache>
            </c:numRef>
          </c:yVal>
          <c:smooth val="0"/>
          <c:extLst>
            <c:ext xmlns:c16="http://schemas.microsoft.com/office/drawing/2014/chart" uri="{C3380CC4-5D6E-409C-BE32-E72D297353CC}">
              <c16:uniqueId val="{00000000-E709-4AE6-AED3-6CB79A466A75}"/>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(3)'!$C$109:$C$113</c:f>
              <c:numCache>
                <c:formatCode>General</c:formatCode>
                <c:ptCount val="5"/>
                <c:pt idx="0">
                  <c:v>2</c:v>
                </c:pt>
                <c:pt idx="1">
                  <c:v>3</c:v>
                </c:pt>
                <c:pt idx="2">
                  <c:v>4</c:v>
                </c:pt>
                <c:pt idx="3">
                  <c:v>5</c:v>
                </c:pt>
                <c:pt idx="4">
                  <c:v>10</c:v>
                </c:pt>
              </c:numCache>
            </c:numRef>
          </c:xVal>
          <c:yVal>
            <c:numRef>
              <c:f>'czeta_bkwd_3694s_id14_g (3)'!$E$109:$E$113</c:f>
              <c:numCache>
                <c:formatCode>0.00</c:formatCode>
                <c:ptCount val="5"/>
                <c:pt idx="0">
                  <c:v>2.046875</c:v>
                </c:pt>
                <c:pt idx="1">
                  <c:v>1.3511450381679388</c:v>
                </c:pt>
                <c:pt idx="2">
                  <c:v>1.192090395480226</c:v>
                </c:pt>
                <c:pt idx="3">
                  <c:v>1.1421800947867298</c:v>
                </c:pt>
                <c:pt idx="4">
                  <c:v>0.3100414937759336</c:v>
                </c:pt>
              </c:numCache>
            </c:numRef>
          </c:yVal>
          <c:smooth val="0"/>
          <c:extLst>
            <c:ext xmlns:c16="http://schemas.microsoft.com/office/drawing/2014/chart" uri="{C3380CC4-5D6E-409C-BE32-E72D297353CC}">
              <c16:uniqueId val="{00000000-3047-4146-899B-6909D9F5F8B2}"/>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'czeta_bkwd_3694s_id14_g (3)'!$X$185:$X$194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(3)'!$Y$185:$Y$194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7A08-4972-AF54-CFCADEC2A682}"/>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(2)'!$B$30:$B$39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(2)'!$C$30:$C$39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E942-4DE0-A077-D3AE2F6775BE}"/>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(2)'!$B$30:$B$39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(2)'!$D$30:$D$39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DD1F-4140-812F-AF17BF2BF19C}"/>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'czeta_bkwd_3694s_id14_g (2)'!$C$139:$C$143</c:f>
              <c:numCache>
                <c:formatCode>General</c:formatCode>
                <c:ptCount val="5"/>
                <c:pt idx="0">
                  <c:v>10</c:v>
                </c:pt>
                <c:pt idx="1">
                  <c:v>20</c:v>
                </c:pt>
                <c:pt idx="2">
                  <c:v>30</c:v>
                </c:pt>
                <c:pt idx="3">
                  <c:v>40</c:v>
                </c:pt>
                <c:pt idx="4">
                  <c:v>50</c:v>
                </c:pt>
              </c:numCache>
            </c:numRef>
          </c:xVal>
          <c:yVal>
            <c:numRef>
              <c:f>'czeta_bkwd_3694s_id14_g (2)'!$D$139:$D$143</c:f>
              <c:numCache>
                <c:formatCode>General</c:formatCode>
                <c:ptCount val="5"/>
                <c:pt idx="0">
                  <c:v>186.8</c:v>
                </c:pt>
                <c:pt idx="1">
                  <c:v>308.10000000000002</c:v>
                </c:pt>
                <c:pt idx="2">
                  <c:v>412.2</c:v>
                </c:pt>
                <c:pt idx="3">
                  <c:v>508.1</c:v>
                </c:pt>
                <c:pt idx="4">
                  <c:v>601.9</c:v>
                </c:pt>
              </c:numCache>
            </c:numRef>
          </c:yVal>
          <c:smooth val="0"/>
          <c:extLst>
            <c:ext xmlns:c16="http://schemas.microsoft.com/office/drawing/2014/chart" uri="{C3380CC4-5D6E-409C-BE32-E72D297353CC}">
              <c16:uniqueId val="{00000001-D2D4-421C-9E90-2C3D1E077A9C}"/>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(2)'!$C$108:$C$112</c:f>
              <c:numCache>
                <c:formatCode>General</c:formatCode>
                <c:ptCount val="5"/>
                <c:pt idx="0">
                  <c:v>1</c:v>
                </c:pt>
                <c:pt idx="1">
                  <c:v>2</c:v>
                </c:pt>
                <c:pt idx="2">
                  <c:v>3</c:v>
                </c:pt>
                <c:pt idx="3">
                  <c:v>4</c:v>
                </c:pt>
                <c:pt idx="4">
                  <c:v>5</c:v>
                </c:pt>
              </c:numCache>
            </c:numRef>
          </c:xVal>
          <c:yVal>
            <c:numRef>
              <c:f>'czeta_bkwd_3694s_id14_g (2)'!$D$108:$D$112</c:f>
              <c:numCache>
                <c:formatCode>0.00</c:formatCode>
                <c:ptCount val="5"/>
                <c:pt idx="0">
                  <c:v>29</c:v>
                </c:pt>
                <c:pt idx="1">
                  <c:v>66</c:v>
                </c:pt>
                <c:pt idx="2">
                  <c:v>88</c:v>
                </c:pt>
                <c:pt idx="3">
                  <c:v>106</c:v>
                </c:pt>
                <c:pt idx="4">
                  <c:v>120.5</c:v>
                </c:pt>
              </c:numCache>
            </c:numRef>
          </c:yVal>
          <c:smooth val="0"/>
          <c:extLst>
            <c:ext xmlns:c16="http://schemas.microsoft.com/office/drawing/2014/chart" uri="{C3380CC4-5D6E-409C-BE32-E72D297353CC}">
              <c16:uniqueId val="{00000000-F36A-4171-9E2E-6D72E8A777B1}"/>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(2)'!$H$134:$H$143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(2)'!$I$134:$I$143</c:f>
              <c:numCache>
                <c:formatCode>0.0</c:formatCode>
                <c:ptCount val="10"/>
                <c:pt idx="0">
                  <c:v>29.149999999999984</c:v>
                </c:pt>
                <c:pt idx="1">
                  <c:v>65.39999999999992</c:v>
                </c:pt>
                <c:pt idx="2">
                  <c:v>88.899999999999977</c:v>
                </c:pt>
                <c:pt idx="3">
                  <c:v>105.40000000000003</c:v>
                </c:pt>
                <c:pt idx="4">
                  <c:v>120.65000000000003</c:v>
                </c:pt>
                <c:pt idx="5">
                  <c:v>186.84142857142859</c:v>
                </c:pt>
                <c:pt idx="6">
                  <c:v>307.93428571428575</c:v>
                </c:pt>
                <c:pt idx="7">
                  <c:v>412.44857142857143</c:v>
                </c:pt>
                <c:pt idx="8">
                  <c:v>507.93428571428569</c:v>
                </c:pt>
                <c:pt idx="9">
                  <c:v>601.94142857142856</c:v>
                </c:pt>
              </c:numCache>
            </c:numRef>
          </c:yVal>
          <c:smooth val="0"/>
          <c:extLst>
            <c:ext xmlns:c16="http://schemas.microsoft.com/office/drawing/2014/chart" uri="{C3380CC4-5D6E-409C-BE32-E72D297353CC}">
              <c16:uniqueId val="{00000000-700B-44BA-AD46-F9E9DC7A50D5}"/>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(2)'!$C$109:$C$117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'czeta_bkwd_3694s_id14_g (2)'!$E$109:$E$117</c:f>
              <c:numCache>
                <c:formatCode>0.00</c:formatCode>
                <c:ptCount val="9"/>
                <c:pt idx="0">
                  <c:v>2.2758620689655173</c:v>
                </c:pt>
                <c:pt idx="1">
                  <c:v>1.3333333333333333</c:v>
                </c:pt>
                <c:pt idx="2">
                  <c:v>1.2045454545454546</c:v>
                </c:pt>
                <c:pt idx="3">
                  <c:v>1.1367924528301887</c:v>
                </c:pt>
                <c:pt idx="4">
                  <c:v>0.3100414937759336</c:v>
                </c:pt>
                <c:pt idx="5">
                  <c:v>0.16493576017130623</c:v>
                </c:pt>
                <c:pt idx="6">
                  <c:v>0.13378773125608567</c:v>
                </c:pt>
                <c:pt idx="7">
                  <c:v>0.1232654051431344</c:v>
                </c:pt>
                <c:pt idx="8">
                  <c:v>0.11846093288722692</c:v>
                </c:pt>
              </c:numCache>
            </c:numRef>
          </c:yVal>
          <c:smooth val="0"/>
          <c:extLst>
            <c:ext xmlns:c16="http://schemas.microsoft.com/office/drawing/2014/chart" uri="{C3380CC4-5D6E-409C-BE32-E72D297353CC}">
              <c16:uniqueId val="{00000000-1361-4BA2-9FD5-1B64A6B548F8}"/>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0835-4F5B-BB11-A82891F9BE8A}"/>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czeta_bkwd_3075s_trend_v3!$B$30:$B$39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4CA4-4391-84A0-F1D305CA27CF}"/>
            </c:ext>
          </c:extLst>
        </c:ser>
        <c:dLbls>
          <c:showLegendKey val="0"/>
          <c:showVal val="0"/>
          <c:showCatName val="0"/>
          <c:showSerName val="0"/>
          <c:showPercent val="0"/>
          <c:showBubbleSize val="0"/>
        </c:dLbls>
        <c:axId val="116867456"/>
        <c:axId val="116868992"/>
      </c:scatterChart>
      <c:valAx>
        <c:axId val="116867456"/>
        <c:scaling>
          <c:orientation val="minMax"/>
        </c:scaling>
        <c:delete val="0"/>
        <c:axPos val="b"/>
        <c:numFmt formatCode="General" sourceLinked="1"/>
        <c:majorTickMark val="out"/>
        <c:minorTickMark val="none"/>
        <c:tickLblPos val="nextTo"/>
        <c:crossAx val="116868992"/>
        <c:crosses val="autoZero"/>
        <c:crossBetween val="midCat"/>
      </c:valAx>
      <c:valAx>
        <c:axId val="116868992"/>
        <c:scaling>
          <c:orientation val="minMax"/>
        </c:scaling>
        <c:delete val="0"/>
        <c:axPos val="l"/>
        <c:majorGridlines/>
        <c:numFmt formatCode="0.00" sourceLinked="1"/>
        <c:majorTickMark val="out"/>
        <c:minorTickMark val="none"/>
        <c:tickLblPos val="nextTo"/>
        <c:crossAx val="116867456"/>
        <c:crosses val="autoZero"/>
        <c:crossBetween val="midCat"/>
      </c:valAx>
    </c:plotArea>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A8C8-4473-B879-A4B0D4A237A7}"/>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czeta_bkwd_3694s_id14_g!$C$139:$C$143</c:f>
              <c:numCache>
                <c:formatCode>General</c:formatCode>
                <c:ptCount val="5"/>
                <c:pt idx="0">
                  <c:v>10</c:v>
                </c:pt>
                <c:pt idx="1">
                  <c:v>20</c:v>
                </c:pt>
                <c:pt idx="2">
                  <c:v>30</c:v>
                </c:pt>
                <c:pt idx="3">
                  <c:v>40</c:v>
                </c:pt>
                <c:pt idx="4">
                  <c:v>50</c:v>
                </c:pt>
              </c:numCache>
            </c:numRef>
          </c:xVal>
          <c:yVal>
            <c:numRef>
              <c:f>czeta_bkwd_3694s_id14_g!$D$139:$D$143</c:f>
              <c:numCache>
                <c:formatCode>General</c:formatCode>
                <c:ptCount val="5"/>
                <c:pt idx="0">
                  <c:v>192.2</c:v>
                </c:pt>
                <c:pt idx="1">
                  <c:v>309.10000000000002</c:v>
                </c:pt>
                <c:pt idx="2">
                  <c:v>413</c:v>
                </c:pt>
                <c:pt idx="3">
                  <c:v>508.6</c:v>
                </c:pt>
                <c:pt idx="4">
                  <c:v>600.70000000000005</c:v>
                </c:pt>
              </c:numCache>
            </c:numRef>
          </c:yVal>
          <c:smooth val="0"/>
          <c:extLst>
            <c:ext xmlns:c16="http://schemas.microsoft.com/office/drawing/2014/chart" uri="{C3380CC4-5D6E-409C-BE32-E72D297353CC}">
              <c16:uniqueId val="{00000001-0960-447C-A5F7-67989FCFF019}"/>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czeta_bkwd_3694s_id14_g!$C$108:$C$112</c:f>
              <c:numCache>
                <c:formatCode>General</c:formatCode>
                <c:ptCount val="5"/>
                <c:pt idx="0">
                  <c:v>1</c:v>
                </c:pt>
                <c:pt idx="1">
                  <c:v>2</c:v>
                </c:pt>
                <c:pt idx="2">
                  <c:v>3</c:v>
                </c:pt>
                <c:pt idx="3">
                  <c:v>4</c:v>
                </c:pt>
                <c:pt idx="4">
                  <c:v>5</c:v>
                </c:pt>
              </c:numCache>
            </c:numRef>
          </c:xVal>
          <c:yVal>
            <c:numRef>
              <c:f>czeta_bkwd_3694s_id14_g!$D$108:$D$112</c:f>
              <c:numCache>
                <c:formatCode>0.00</c:formatCode>
                <c:ptCount val="5"/>
                <c:pt idx="0">
                  <c:v>35.299999999999997</c:v>
                </c:pt>
                <c:pt idx="1">
                  <c:v>64.2</c:v>
                </c:pt>
                <c:pt idx="2">
                  <c:v>88.1</c:v>
                </c:pt>
                <c:pt idx="3">
                  <c:v>107.5</c:v>
                </c:pt>
                <c:pt idx="4">
                  <c:v>123.1</c:v>
                </c:pt>
              </c:numCache>
            </c:numRef>
          </c:yVal>
          <c:smooth val="0"/>
          <c:extLst>
            <c:ext xmlns:c16="http://schemas.microsoft.com/office/drawing/2014/chart" uri="{C3380CC4-5D6E-409C-BE32-E72D297353CC}">
              <c16:uniqueId val="{00000000-9589-476F-BBDB-B14A22EA601F}"/>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czeta_bkwd_3694s_id14_g!$I$134:$I$143</c:f>
              <c:numCache>
                <c:formatCode>0.0</c:formatCode>
                <c:ptCount val="10"/>
                <c:pt idx="0">
                  <c:v>35.297142857142866</c:v>
                </c:pt>
                <c:pt idx="1">
                  <c:v>64.211428571428556</c:v>
                </c:pt>
                <c:pt idx="2">
                  <c:v>88.082857142857151</c:v>
                </c:pt>
                <c:pt idx="3">
                  <c:v>107.5114285714286</c:v>
                </c:pt>
                <c:pt idx="4">
                  <c:v>123.09714285714287</c:v>
                </c:pt>
                <c:pt idx="5">
                  <c:v>192.19857142857146</c:v>
                </c:pt>
                <c:pt idx="6">
                  <c:v>309.10571428571433</c:v>
                </c:pt>
                <c:pt idx="7">
                  <c:v>412.99142857142857</c:v>
                </c:pt>
                <c:pt idx="8">
                  <c:v>508.60571428571427</c:v>
                </c:pt>
                <c:pt idx="9">
                  <c:v>600.69857142857143</c:v>
                </c:pt>
              </c:numCache>
            </c:numRef>
          </c:yVal>
          <c:smooth val="0"/>
          <c:extLst>
            <c:ext xmlns:c16="http://schemas.microsoft.com/office/drawing/2014/chart" uri="{C3380CC4-5D6E-409C-BE32-E72D297353CC}">
              <c16:uniqueId val="{00000000-0E4E-431D-A0A5-545C4919C1F3}"/>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czeta_bkwd_3694s_id14_g!$E$109:$E$117</c:f>
              <c:numCache>
                <c:formatCode>0.00</c:formatCode>
                <c:ptCount val="9"/>
                <c:pt idx="0">
                  <c:v>1.8186968838526913</c:v>
                </c:pt>
                <c:pt idx="1">
                  <c:v>1.3722741433021806</c:v>
                </c:pt>
                <c:pt idx="2">
                  <c:v>1.2202043132803633</c:v>
                </c:pt>
                <c:pt idx="3">
                  <c:v>1.1451162790697673</c:v>
                </c:pt>
                <c:pt idx="4">
                  <c:v>0.31226645004061737</c:v>
                </c:pt>
                <c:pt idx="5">
                  <c:v>0.16082206035379815</c:v>
                </c:pt>
                <c:pt idx="6">
                  <c:v>0.13361371724361046</c:v>
                </c:pt>
                <c:pt idx="7">
                  <c:v>0.12314769975786925</c:v>
                </c:pt>
                <c:pt idx="8">
                  <c:v>0.11810853322847033</c:v>
                </c:pt>
              </c:numCache>
            </c:numRef>
          </c:yVal>
          <c:smooth val="0"/>
          <c:extLst>
            <c:ext xmlns:c16="http://schemas.microsoft.com/office/drawing/2014/chart" uri="{C3380CC4-5D6E-409C-BE32-E72D297353CC}">
              <c16:uniqueId val="{00000000-8E5D-4EC2-B760-83A1D4C1C379}"/>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czeta_bkwd_3694s_id15_h!$B$30:$B$39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czeta_bkwd_3694s_id15_h!$C$30:$C$39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50DA-4E70-8F6F-403A117D9BD2}"/>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czeta_bkwd_3694s_id15_h!$B$30:$B$39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czeta_bkwd_3694s_id15_h!$D$30:$D$39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E9B4-4C5B-969A-4098291DF12E}"/>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czeta_bkwd_3694s_id15_h!$C$139:$C$143</c:f>
              <c:numCache>
                <c:formatCode>General</c:formatCode>
                <c:ptCount val="5"/>
                <c:pt idx="0">
                  <c:v>10</c:v>
                </c:pt>
                <c:pt idx="1">
                  <c:v>20</c:v>
                </c:pt>
                <c:pt idx="2">
                  <c:v>30</c:v>
                </c:pt>
                <c:pt idx="3">
                  <c:v>40</c:v>
                </c:pt>
                <c:pt idx="4">
                  <c:v>50</c:v>
                </c:pt>
              </c:numCache>
            </c:numRef>
          </c:xVal>
          <c:yVal>
            <c:numRef>
              <c:f>czeta_bkwd_3694s_id15_h!$D$139:$D$143</c:f>
              <c:numCache>
                <c:formatCode>General</c:formatCode>
                <c:ptCount val="5"/>
                <c:pt idx="0">
                  <c:v>192.2</c:v>
                </c:pt>
                <c:pt idx="1">
                  <c:v>309.10000000000002</c:v>
                </c:pt>
                <c:pt idx="2">
                  <c:v>413</c:v>
                </c:pt>
                <c:pt idx="3">
                  <c:v>508.6</c:v>
                </c:pt>
                <c:pt idx="4">
                  <c:v>600.70000000000005</c:v>
                </c:pt>
              </c:numCache>
            </c:numRef>
          </c:yVal>
          <c:smooth val="0"/>
          <c:extLst>
            <c:ext xmlns:c16="http://schemas.microsoft.com/office/drawing/2014/chart" uri="{C3380CC4-5D6E-409C-BE32-E72D297353CC}">
              <c16:uniqueId val="{00000001-E002-475A-8934-463B819BB04B}"/>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czeta_bkwd_3694s_id15_h!$C$108:$C$112</c:f>
              <c:numCache>
                <c:formatCode>General</c:formatCode>
                <c:ptCount val="5"/>
                <c:pt idx="0">
                  <c:v>1</c:v>
                </c:pt>
                <c:pt idx="1">
                  <c:v>2</c:v>
                </c:pt>
                <c:pt idx="2">
                  <c:v>3</c:v>
                </c:pt>
                <c:pt idx="3">
                  <c:v>4</c:v>
                </c:pt>
                <c:pt idx="4">
                  <c:v>5</c:v>
                </c:pt>
              </c:numCache>
            </c:numRef>
          </c:xVal>
          <c:yVal>
            <c:numRef>
              <c:f>czeta_bkwd_3694s_id15_h!$D$108:$D$112</c:f>
              <c:numCache>
                <c:formatCode>0.00</c:formatCode>
                <c:ptCount val="5"/>
                <c:pt idx="0">
                  <c:v>35.299999999999997</c:v>
                </c:pt>
                <c:pt idx="1">
                  <c:v>64.2</c:v>
                </c:pt>
                <c:pt idx="2">
                  <c:v>88.1</c:v>
                </c:pt>
                <c:pt idx="3">
                  <c:v>107.5</c:v>
                </c:pt>
                <c:pt idx="4">
                  <c:v>123.1</c:v>
                </c:pt>
              </c:numCache>
            </c:numRef>
          </c:yVal>
          <c:smooth val="0"/>
          <c:extLst>
            <c:ext xmlns:c16="http://schemas.microsoft.com/office/drawing/2014/chart" uri="{C3380CC4-5D6E-409C-BE32-E72D297353CC}">
              <c16:uniqueId val="{00000000-D9BC-4DE8-A9A0-8B66BFFC6E52}"/>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czeta_bkwd_3694s_id15_h!$H$134:$H$143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czeta_bkwd_3694s_id15_h!$I$134:$I$143</c:f>
              <c:numCache>
                <c:formatCode>0.0</c:formatCode>
                <c:ptCount val="10"/>
                <c:pt idx="0">
                  <c:v>35.297142857142866</c:v>
                </c:pt>
                <c:pt idx="1">
                  <c:v>64.211428571428556</c:v>
                </c:pt>
                <c:pt idx="2">
                  <c:v>88.082857142857151</c:v>
                </c:pt>
                <c:pt idx="3">
                  <c:v>107.5114285714286</c:v>
                </c:pt>
                <c:pt idx="4">
                  <c:v>123.09714285714287</c:v>
                </c:pt>
                <c:pt idx="5">
                  <c:v>192.19857142857146</c:v>
                </c:pt>
                <c:pt idx="6">
                  <c:v>309.10571428571433</c:v>
                </c:pt>
                <c:pt idx="7">
                  <c:v>412.99142857142857</c:v>
                </c:pt>
                <c:pt idx="8">
                  <c:v>508.60571428571427</c:v>
                </c:pt>
                <c:pt idx="9">
                  <c:v>600.69857142857143</c:v>
                </c:pt>
              </c:numCache>
            </c:numRef>
          </c:yVal>
          <c:smooth val="0"/>
          <c:extLst>
            <c:ext xmlns:c16="http://schemas.microsoft.com/office/drawing/2014/chart" uri="{C3380CC4-5D6E-409C-BE32-E72D297353CC}">
              <c16:uniqueId val="{00000000-5E51-4F85-A5BD-E35A1B8FE463}"/>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czeta_bkwd_3075s_trend_v3!$B$30:$B$39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06C9-435F-ADBF-55C0DFF00AF8}"/>
            </c:ext>
          </c:extLst>
        </c:ser>
        <c:dLbls>
          <c:showLegendKey val="0"/>
          <c:showVal val="0"/>
          <c:showCatName val="0"/>
          <c:showSerName val="0"/>
          <c:showPercent val="0"/>
          <c:showBubbleSize val="0"/>
        </c:dLbls>
        <c:axId val="116880512"/>
        <c:axId val="116882048"/>
      </c:scatterChart>
      <c:valAx>
        <c:axId val="116880512"/>
        <c:scaling>
          <c:orientation val="minMax"/>
        </c:scaling>
        <c:delete val="0"/>
        <c:axPos val="b"/>
        <c:numFmt formatCode="General" sourceLinked="1"/>
        <c:majorTickMark val="out"/>
        <c:minorTickMark val="none"/>
        <c:tickLblPos val="nextTo"/>
        <c:crossAx val="116882048"/>
        <c:crosses val="autoZero"/>
        <c:crossBetween val="midCat"/>
      </c:valAx>
      <c:valAx>
        <c:axId val="116882048"/>
        <c:scaling>
          <c:orientation val="minMax"/>
        </c:scaling>
        <c:delete val="0"/>
        <c:axPos val="l"/>
        <c:majorGridlines/>
        <c:numFmt formatCode="0.00" sourceLinked="1"/>
        <c:majorTickMark val="out"/>
        <c:minorTickMark val="none"/>
        <c:tickLblPos val="nextTo"/>
        <c:crossAx val="116880512"/>
        <c:crosses val="autoZero"/>
        <c:crossBetween val="midCat"/>
      </c:valAx>
    </c:plotArea>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czeta_bkwd_3694s_id15_h!$C$109:$C$117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czeta_bkwd_3694s_id15_h!$E$109:$E$117</c:f>
              <c:numCache>
                <c:formatCode>0.00</c:formatCode>
                <c:ptCount val="9"/>
                <c:pt idx="0">
                  <c:v>1.8186968838526913</c:v>
                </c:pt>
                <c:pt idx="1">
                  <c:v>1.3722741433021806</c:v>
                </c:pt>
                <c:pt idx="2">
                  <c:v>1.2202043132803633</c:v>
                </c:pt>
                <c:pt idx="3">
                  <c:v>1.1451162790697673</c:v>
                </c:pt>
                <c:pt idx="4">
                  <c:v>0.31226645004061737</c:v>
                </c:pt>
                <c:pt idx="5">
                  <c:v>0.16082206035379815</c:v>
                </c:pt>
                <c:pt idx="6">
                  <c:v>0.13361371724361046</c:v>
                </c:pt>
                <c:pt idx="7">
                  <c:v>0.12314769975786925</c:v>
                </c:pt>
                <c:pt idx="8">
                  <c:v>0.11810853322847033</c:v>
                </c:pt>
              </c:numCache>
            </c:numRef>
          </c:yVal>
          <c:smooth val="0"/>
          <c:extLst>
            <c:ext xmlns:c16="http://schemas.microsoft.com/office/drawing/2014/chart" uri="{C3380CC4-5D6E-409C-BE32-E72D297353CC}">
              <c16:uniqueId val="{00000000-51A0-4383-919F-04CDD2360C02}"/>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czeta_bkwd_3694s_id16_i!$B$30:$B$39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czeta_bkwd_3694s_id16_i!$C$30:$C$39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B426-4406-8746-1025565B8B2E}"/>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czeta_bkwd_3694s_id16_i!$B$30:$B$39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czeta_bkwd_3694s_id16_i!$D$30:$D$39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EF1F-41E0-B979-EDD5E5B81EFE}"/>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czeta_bkwd_3694s_id16_i!$C$139:$C$143</c:f>
              <c:numCache>
                <c:formatCode>General</c:formatCode>
                <c:ptCount val="5"/>
                <c:pt idx="0">
                  <c:v>10</c:v>
                </c:pt>
                <c:pt idx="1">
                  <c:v>20</c:v>
                </c:pt>
                <c:pt idx="2">
                  <c:v>30</c:v>
                </c:pt>
                <c:pt idx="3">
                  <c:v>40</c:v>
                </c:pt>
                <c:pt idx="4">
                  <c:v>50</c:v>
                </c:pt>
              </c:numCache>
            </c:numRef>
          </c:xVal>
          <c:yVal>
            <c:numRef>
              <c:f>czeta_bkwd_3694s_id16_i!$D$139:$D$143</c:f>
              <c:numCache>
                <c:formatCode>General</c:formatCode>
                <c:ptCount val="5"/>
                <c:pt idx="0">
                  <c:v>192.2</c:v>
                </c:pt>
                <c:pt idx="1">
                  <c:v>309.10000000000002</c:v>
                </c:pt>
                <c:pt idx="2">
                  <c:v>413</c:v>
                </c:pt>
                <c:pt idx="3">
                  <c:v>508.6</c:v>
                </c:pt>
                <c:pt idx="4">
                  <c:v>600.70000000000005</c:v>
                </c:pt>
              </c:numCache>
            </c:numRef>
          </c:yVal>
          <c:smooth val="0"/>
          <c:extLst>
            <c:ext xmlns:c16="http://schemas.microsoft.com/office/drawing/2014/chart" uri="{C3380CC4-5D6E-409C-BE32-E72D297353CC}">
              <c16:uniqueId val="{00000001-876B-4178-9E96-FC972AD3F5A6}"/>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czeta_bkwd_3694s_id16_i!$C$108:$C$112</c:f>
              <c:numCache>
                <c:formatCode>General</c:formatCode>
                <c:ptCount val="5"/>
                <c:pt idx="0">
                  <c:v>1</c:v>
                </c:pt>
                <c:pt idx="1">
                  <c:v>2</c:v>
                </c:pt>
                <c:pt idx="2">
                  <c:v>3</c:v>
                </c:pt>
                <c:pt idx="3">
                  <c:v>4</c:v>
                </c:pt>
                <c:pt idx="4">
                  <c:v>5</c:v>
                </c:pt>
              </c:numCache>
            </c:numRef>
          </c:xVal>
          <c:yVal>
            <c:numRef>
              <c:f>czeta_bkwd_3694s_id16_i!$D$108:$D$112</c:f>
              <c:numCache>
                <c:formatCode>0.00</c:formatCode>
                <c:ptCount val="5"/>
                <c:pt idx="0">
                  <c:v>35.299999999999997</c:v>
                </c:pt>
                <c:pt idx="1">
                  <c:v>64.2</c:v>
                </c:pt>
                <c:pt idx="2">
                  <c:v>88.1</c:v>
                </c:pt>
                <c:pt idx="3">
                  <c:v>107.5</c:v>
                </c:pt>
                <c:pt idx="4">
                  <c:v>123.1</c:v>
                </c:pt>
              </c:numCache>
            </c:numRef>
          </c:yVal>
          <c:smooth val="0"/>
          <c:extLst>
            <c:ext xmlns:c16="http://schemas.microsoft.com/office/drawing/2014/chart" uri="{C3380CC4-5D6E-409C-BE32-E72D297353CC}">
              <c16:uniqueId val="{00000000-E3B3-4851-A9C3-A849AA57A879}"/>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czeta_bkwd_3694s_id16_i!$H$134:$H$143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czeta_bkwd_3694s_id16_i!$I$134:$I$143</c:f>
              <c:numCache>
                <c:formatCode>0.0</c:formatCode>
                <c:ptCount val="10"/>
                <c:pt idx="0">
                  <c:v>35.297142857142866</c:v>
                </c:pt>
                <c:pt idx="1">
                  <c:v>64.211428571428556</c:v>
                </c:pt>
                <c:pt idx="2">
                  <c:v>88.082857142857151</c:v>
                </c:pt>
                <c:pt idx="3">
                  <c:v>107.5114285714286</c:v>
                </c:pt>
                <c:pt idx="4">
                  <c:v>123.09714285714287</c:v>
                </c:pt>
                <c:pt idx="5">
                  <c:v>192.19857142857146</c:v>
                </c:pt>
                <c:pt idx="6">
                  <c:v>309.10571428571433</c:v>
                </c:pt>
                <c:pt idx="7">
                  <c:v>412.99142857142857</c:v>
                </c:pt>
                <c:pt idx="8">
                  <c:v>508.60571428571427</c:v>
                </c:pt>
                <c:pt idx="9">
                  <c:v>600.69857142857143</c:v>
                </c:pt>
              </c:numCache>
            </c:numRef>
          </c:yVal>
          <c:smooth val="0"/>
          <c:extLst>
            <c:ext xmlns:c16="http://schemas.microsoft.com/office/drawing/2014/chart" uri="{C3380CC4-5D6E-409C-BE32-E72D297353CC}">
              <c16:uniqueId val="{00000000-D2C3-4A33-A7C2-E8950AD11A4A}"/>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czeta_bkwd_3694s_id16_i!$C$109:$C$117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czeta_bkwd_3694s_id16_i!$E$109:$E$117</c:f>
              <c:numCache>
                <c:formatCode>0.00</c:formatCode>
                <c:ptCount val="9"/>
                <c:pt idx="0">
                  <c:v>1.8186968838526913</c:v>
                </c:pt>
                <c:pt idx="1">
                  <c:v>1.3722741433021806</c:v>
                </c:pt>
                <c:pt idx="2">
                  <c:v>1.2202043132803633</c:v>
                </c:pt>
                <c:pt idx="3">
                  <c:v>1.1451162790697673</c:v>
                </c:pt>
                <c:pt idx="4">
                  <c:v>0.31226645004061737</c:v>
                </c:pt>
                <c:pt idx="5">
                  <c:v>0.16082206035379815</c:v>
                </c:pt>
                <c:pt idx="6">
                  <c:v>0.13361371724361046</c:v>
                </c:pt>
                <c:pt idx="7">
                  <c:v>0.12314769975786925</c:v>
                </c:pt>
                <c:pt idx="8">
                  <c:v>0.11810853322847033</c:v>
                </c:pt>
              </c:numCache>
            </c:numRef>
          </c:yVal>
          <c:smooth val="0"/>
          <c:extLst>
            <c:ext xmlns:c16="http://schemas.microsoft.com/office/drawing/2014/chart" uri="{C3380CC4-5D6E-409C-BE32-E72D297353CC}">
              <c16:uniqueId val="{00000000-DA77-4059-895D-5554F9059C27}"/>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c:spPr>
          <c:xVal>
            <c:numRef>
              <c:f>czeta_tweak!$B$19:$B$28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czeta_tweak!$F$19:$F$28</c:f>
              <c:numCache>
                <c:formatCode>0%</c:formatCode>
                <c:ptCount val="10"/>
                <c:pt idx="0">
                  <c:v>0.91973244147157196</c:v>
                </c:pt>
                <c:pt idx="1">
                  <c:v>0.88204898892035533</c:v>
                </c:pt>
                <c:pt idx="2">
                  <c:v>0.88645676083674785</c:v>
                </c:pt>
                <c:pt idx="3">
                  <c:v>0.90274562662994118</c:v>
                </c:pt>
                <c:pt idx="4">
                  <c:v>0.92280074075007223</c:v>
                </c:pt>
                <c:pt idx="5">
                  <c:v>0.93448351682869757</c:v>
                </c:pt>
                <c:pt idx="6">
                  <c:v>0.91443662971762851</c:v>
                </c:pt>
                <c:pt idx="7">
                  <c:v>0.89886581700380341</c:v>
                </c:pt>
                <c:pt idx="8">
                  <c:v>0.88449926301773674</c:v>
                </c:pt>
                <c:pt idx="9">
                  <c:v>0.87034693905823568</c:v>
                </c:pt>
              </c:numCache>
            </c:numRef>
          </c:yVal>
          <c:smooth val="1"/>
          <c:extLst>
            <c:ext xmlns:c16="http://schemas.microsoft.com/office/drawing/2014/chart" uri="{C3380CC4-5D6E-409C-BE32-E72D297353CC}">
              <c16:uniqueId val="{00000000-9BA3-451E-8E57-81F6B0CA2A86}"/>
            </c:ext>
          </c:extLst>
        </c:ser>
        <c:dLbls>
          <c:showLegendKey val="0"/>
          <c:showVal val="0"/>
          <c:showCatName val="0"/>
          <c:showSerName val="0"/>
          <c:showPercent val="0"/>
          <c:showBubbleSize val="0"/>
        </c:dLbls>
        <c:axId val="128756352"/>
        <c:axId val="128758144"/>
      </c:scatterChart>
      <c:valAx>
        <c:axId val="128756352"/>
        <c:scaling>
          <c:orientation val="minMax"/>
        </c:scaling>
        <c:delete val="0"/>
        <c:axPos val="b"/>
        <c:numFmt formatCode="General" sourceLinked="1"/>
        <c:majorTickMark val="out"/>
        <c:minorTickMark val="none"/>
        <c:tickLblPos val="nextTo"/>
        <c:crossAx val="128758144"/>
        <c:crosses val="autoZero"/>
        <c:crossBetween val="midCat"/>
      </c:valAx>
      <c:valAx>
        <c:axId val="128758144"/>
        <c:scaling>
          <c:orientation val="minMax"/>
        </c:scaling>
        <c:delete val="0"/>
        <c:axPos val="l"/>
        <c:majorGridlines/>
        <c:numFmt formatCode="0%" sourceLinked="1"/>
        <c:majorTickMark val="out"/>
        <c:minorTickMark val="none"/>
        <c:tickLblPos val="nextTo"/>
        <c:crossAx val="128756352"/>
        <c:crosses val="autoZero"/>
        <c:crossBetween val="midCat"/>
      </c:valAx>
    </c:plotArea>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c:spPr>
          <c:xVal>
            <c:numRef>
              <c:f>czeta_tweak!$L$19:$L$28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czeta_tweak!$O$19:$O$28</c:f>
              <c:numCache>
                <c:formatCode>0%</c:formatCode>
                <c:ptCount val="10"/>
                <c:pt idx="0">
                  <c:v>1</c:v>
                </c:pt>
                <c:pt idx="1">
                  <c:v>1.0034923674871858</c:v>
                </c:pt>
                <c:pt idx="2">
                  <c:v>0.99622916920082716</c:v>
                </c:pt>
                <c:pt idx="3">
                  <c:v>1.0020124642949881</c:v>
                </c:pt>
                <c:pt idx="4">
                  <c:v>0.99957679758638085</c:v>
                </c:pt>
                <c:pt idx="5">
                  <c:v>0.99883192295733558</c:v>
                </c:pt>
                <c:pt idx="6">
                  <c:v>1.0028777872093746</c:v>
                </c:pt>
                <c:pt idx="7">
                  <c:v>0.99680917000160696</c:v>
                </c:pt>
                <c:pt idx="8">
                  <c:v>1.0017221940008179</c:v>
                </c:pt>
                <c:pt idx="9">
                  <c:v>0.99963124985077556</c:v>
                </c:pt>
              </c:numCache>
            </c:numRef>
          </c:yVal>
          <c:smooth val="1"/>
          <c:extLst>
            <c:ext xmlns:c16="http://schemas.microsoft.com/office/drawing/2014/chart" uri="{C3380CC4-5D6E-409C-BE32-E72D297353CC}">
              <c16:uniqueId val="{00000000-85D8-418A-A860-BE24E6E34EA0}"/>
            </c:ext>
          </c:extLst>
        </c:ser>
        <c:dLbls>
          <c:showLegendKey val="0"/>
          <c:showVal val="0"/>
          <c:showCatName val="0"/>
          <c:showSerName val="0"/>
          <c:showPercent val="0"/>
          <c:showBubbleSize val="0"/>
        </c:dLbls>
        <c:axId val="128765312"/>
        <c:axId val="128775296"/>
      </c:scatterChart>
      <c:valAx>
        <c:axId val="128765312"/>
        <c:scaling>
          <c:orientation val="minMax"/>
        </c:scaling>
        <c:delete val="0"/>
        <c:axPos val="b"/>
        <c:numFmt formatCode="General" sourceLinked="1"/>
        <c:majorTickMark val="out"/>
        <c:minorTickMark val="none"/>
        <c:tickLblPos val="nextTo"/>
        <c:crossAx val="128775296"/>
        <c:crosses val="autoZero"/>
        <c:crossBetween val="midCat"/>
      </c:valAx>
      <c:valAx>
        <c:axId val="128775296"/>
        <c:scaling>
          <c:orientation val="minMax"/>
          <c:max val="1.1000000000000001"/>
          <c:min val="0.9"/>
        </c:scaling>
        <c:delete val="0"/>
        <c:axPos val="l"/>
        <c:majorGridlines/>
        <c:numFmt formatCode="0%" sourceLinked="1"/>
        <c:majorTickMark val="out"/>
        <c:minorTickMark val="none"/>
        <c:tickLblPos val="nextTo"/>
        <c:crossAx val="128765312"/>
        <c:crosses val="autoZero"/>
        <c:crossBetween val="midCat"/>
      </c:valAx>
    </c:plotArea>
    <c:plotVisOnly val="1"/>
    <c:dispBlanksAs val="gap"/>
    <c:showDLblsOverMax val="0"/>
  </c:chart>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19050"/>
          </c:spPr>
          <c:xVal>
            <c:numRef>
              <c:f>czeta_tweak!$Q$19:$Q$28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czeta_tweak!$T$19:$T$28</c:f>
              <c:numCache>
                <c:formatCode>0%</c:formatCode>
                <c:ptCount val="10"/>
                <c:pt idx="0">
                  <c:v>0.99331103678929766</c:v>
                </c:pt>
                <c:pt idx="1">
                  <c:v>0.99990063099319326</c:v>
                </c:pt>
                <c:pt idx="2">
                  <c:v>1.0001078283372871</c:v>
                </c:pt>
                <c:pt idx="3">
                  <c:v>0.988660005274416</c:v>
                </c:pt>
                <c:pt idx="4">
                  <c:v>1.0000125977903473</c:v>
                </c:pt>
                <c:pt idx="5">
                  <c:v>1.000455466381869</c:v>
                </c:pt>
                <c:pt idx="6">
                  <c:v>0.9989019414810536</c:v>
                </c:pt>
                <c:pt idx="7">
                  <c:v>1.0011967728401345</c:v>
                </c:pt>
                <c:pt idx="8">
                  <c:v>0.99936438704445463</c:v>
                </c:pt>
                <c:pt idx="9">
                  <c:v>1.0001339176452662</c:v>
                </c:pt>
              </c:numCache>
            </c:numRef>
          </c:yVal>
          <c:smooth val="1"/>
          <c:extLst>
            <c:ext xmlns:c16="http://schemas.microsoft.com/office/drawing/2014/chart" uri="{C3380CC4-5D6E-409C-BE32-E72D297353CC}">
              <c16:uniqueId val="{00000000-5946-4558-86D3-E3DE9941F5C4}"/>
            </c:ext>
          </c:extLst>
        </c:ser>
        <c:dLbls>
          <c:showLegendKey val="0"/>
          <c:showVal val="0"/>
          <c:showCatName val="0"/>
          <c:showSerName val="0"/>
          <c:showPercent val="0"/>
          <c:showBubbleSize val="0"/>
        </c:dLbls>
        <c:axId val="121917824"/>
        <c:axId val="121919360"/>
      </c:scatterChart>
      <c:valAx>
        <c:axId val="121917824"/>
        <c:scaling>
          <c:orientation val="minMax"/>
        </c:scaling>
        <c:delete val="0"/>
        <c:axPos val="b"/>
        <c:numFmt formatCode="General" sourceLinked="1"/>
        <c:majorTickMark val="out"/>
        <c:minorTickMark val="none"/>
        <c:tickLblPos val="nextTo"/>
        <c:crossAx val="121919360"/>
        <c:crosses val="autoZero"/>
        <c:crossBetween val="midCat"/>
      </c:valAx>
      <c:valAx>
        <c:axId val="121919360"/>
        <c:scaling>
          <c:orientation val="minMax"/>
          <c:max val="1.1000000000000001"/>
          <c:min val="0.9"/>
        </c:scaling>
        <c:delete val="0"/>
        <c:axPos val="l"/>
        <c:majorGridlines/>
        <c:numFmt formatCode="0%" sourceLinked="1"/>
        <c:majorTickMark val="out"/>
        <c:minorTickMark val="none"/>
        <c:tickLblPos val="nextTo"/>
        <c:crossAx val="121917824"/>
        <c:crosses val="autoZero"/>
        <c:crossBetween val="midCat"/>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czeta_bkwd_3075s_trend_v3!$C$82:$C$87</c:f>
              <c:numCache>
                <c:formatCode>General</c:formatCode>
                <c:ptCount val="6"/>
                <c:pt idx="0">
                  <c:v>5</c:v>
                </c:pt>
                <c:pt idx="1">
                  <c:v>10</c:v>
                </c:pt>
                <c:pt idx="2">
                  <c:v>20</c:v>
                </c:pt>
                <c:pt idx="3">
                  <c:v>30</c:v>
                </c:pt>
                <c:pt idx="4">
                  <c:v>40</c:v>
                </c:pt>
                <c:pt idx="5">
                  <c:v>50</c:v>
                </c:pt>
              </c:numCache>
            </c:numRef>
          </c:xVal>
          <c:yVal>
            <c:numRef>
              <c:f>czeta_bkwd_3075s_trend_v3!$D$82:$D$87</c:f>
              <c:numCache>
                <c:formatCode>General</c:formatCode>
                <c:ptCount val="6"/>
                <c:pt idx="0">
                  <c:v>91.1</c:v>
                </c:pt>
                <c:pt idx="1">
                  <c:v>150.69999999999999</c:v>
                </c:pt>
                <c:pt idx="2">
                  <c:v>252.2</c:v>
                </c:pt>
                <c:pt idx="3">
                  <c:v>340.1</c:v>
                </c:pt>
                <c:pt idx="4">
                  <c:v>420.4</c:v>
                </c:pt>
                <c:pt idx="5">
                  <c:v>498</c:v>
                </c:pt>
              </c:numCache>
            </c:numRef>
          </c:yVal>
          <c:smooth val="0"/>
          <c:extLst>
            <c:ext xmlns:c16="http://schemas.microsoft.com/office/drawing/2014/chart" uri="{C3380CC4-5D6E-409C-BE32-E72D297353CC}">
              <c16:uniqueId val="{00000001-B5BF-4EBF-831C-1342E2165AD0}"/>
            </c:ext>
          </c:extLst>
        </c:ser>
        <c:dLbls>
          <c:showLegendKey val="0"/>
          <c:showVal val="0"/>
          <c:showCatName val="0"/>
          <c:showSerName val="0"/>
          <c:showPercent val="0"/>
          <c:showBubbleSize val="0"/>
        </c:dLbls>
        <c:axId val="116894336"/>
        <c:axId val="110035328"/>
      </c:scatterChart>
      <c:valAx>
        <c:axId val="116894336"/>
        <c:scaling>
          <c:orientation val="minMax"/>
        </c:scaling>
        <c:delete val="0"/>
        <c:axPos val="b"/>
        <c:numFmt formatCode="General" sourceLinked="1"/>
        <c:majorTickMark val="out"/>
        <c:minorTickMark val="none"/>
        <c:tickLblPos val="nextTo"/>
        <c:crossAx val="110035328"/>
        <c:crosses val="autoZero"/>
        <c:crossBetween val="midCat"/>
      </c:valAx>
      <c:valAx>
        <c:axId val="110035328"/>
        <c:scaling>
          <c:orientation val="minMax"/>
        </c:scaling>
        <c:delete val="0"/>
        <c:axPos val="l"/>
        <c:majorGridlines/>
        <c:numFmt formatCode="General" sourceLinked="1"/>
        <c:majorTickMark val="out"/>
        <c:minorTickMark val="none"/>
        <c:tickLblPos val="nextTo"/>
        <c:crossAx val="116894336"/>
        <c:crosses val="autoZero"/>
        <c:crossBetween val="midCat"/>
      </c:valAx>
    </c:plotArea>
    <c:plotVisOnly val="1"/>
    <c:dispBlanksAs val="gap"/>
    <c:showDLblsOverMax val="0"/>
  </c:chart>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czeta_tweak!$C$47</c:f>
              <c:strCache>
                <c:ptCount val="1"/>
                <c:pt idx="0">
                  <c:v> (3171)</c:v>
                </c:pt>
              </c:strCache>
            </c:strRef>
          </c:tx>
          <c:spPr>
            <a:ln w="19050"/>
          </c:spPr>
          <c:xVal>
            <c:numRef>
              <c:f>czeta_tweak!$B$53:$B$61</c:f>
              <c:numCache>
                <c:formatCode>General</c:formatCode>
                <c:ptCount val="9"/>
                <c:pt idx="0">
                  <c:v>2</c:v>
                </c:pt>
                <c:pt idx="1">
                  <c:v>3</c:v>
                </c:pt>
                <c:pt idx="2">
                  <c:v>4</c:v>
                </c:pt>
                <c:pt idx="3">
                  <c:v>5</c:v>
                </c:pt>
                <c:pt idx="4">
                  <c:v>10</c:v>
                </c:pt>
                <c:pt idx="5">
                  <c:v>20</c:v>
                </c:pt>
                <c:pt idx="6">
                  <c:v>30</c:v>
                </c:pt>
                <c:pt idx="7">
                  <c:v>40</c:v>
                </c:pt>
                <c:pt idx="8">
                  <c:v>50</c:v>
                </c:pt>
              </c:numCache>
            </c:numRef>
          </c:xVal>
          <c:yVal>
            <c:numRef>
              <c:f>czeta_tweak!$E$53:$E$61</c:f>
              <c:numCache>
                <c:formatCode>0.0%</c:formatCode>
                <c:ptCount val="9"/>
                <c:pt idx="0">
                  <c:v>1.8444675324675315</c:v>
                </c:pt>
                <c:pt idx="1">
                  <c:v>1.3892299892975841</c:v>
                </c:pt>
                <c:pt idx="2">
                  <c:v>1.2491586587195398</c:v>
                </c:pt>
                <c:pt idx="3">
                  <c:v>1.1888308231628149</c:v>
                </c:pt>
                <c:pt idx="4">
                  <c:v>1.6245375489754408</c:v>
                </c:pt>
                <c:pt idx="5">
                  <c:v>1.6235766687115016</c:v>
                </c:pt>
                <c:pt idx="6">
                  <c:v>1.3528394857249331</c:v>
                </c:pt>
                <c:pt idx="7">
                  <c:v>1.2351802398096212</c:v>
                </c:pt>
                <c:pt idx="8">
                  <c:v>1.1675886806011573</c:v>
                </c:pt>
              </c:numCache>
            </c:numRef>
          </c:yVal>
          <c:smooth val="0"/>
          <c:extLst>
            <c:ext xmlns:c16="http://schemas.microsoft.com/office/drawing/2014/chart" uri="{C3380CC4-5D6E-409C-BE32-E72D297353CC}">
              <c16:uniqueId val="{00000000-C0F6-4563-9006-64225F9BE459}"/>
            </c:ext>
          </c:extLst>
        </c:ser>
        <c:ser>
          <c:idx val="1"/>
          <c:order val="1"/>
          <c:tx>
            <c:strRef>
              <c:f>czeta_tweak!$H$47</c:f>
              <c:strCache>
                <c:ptCount val="1"/>
                <c:pt idx="0">
                  <c:v> (3304)</c:v>
                </c:pt>
              </c:strCache>
            </c:strRef>
          </c:tx>
          <c:spPr>
            <a:ln w="15875"/>
          </c:spPr>
          <c:xVal>
            <c:numRef>
              <c:f>czeta_tweak!$G$53:$G$61</c:f>
              <c:numCache>
                <c:formatCode>General</c:formatCode>
                <c:ptCount val="9"/>
                <c:pt idx="0">
                  <c:v>2</c:v>
                </c:pt>
                <c:pt idx="1">
                  <c:v>3</c:v>
                </c:pt>
                <c:pt idx="2">
                  <c:v>4</c:v>
                </c:pt>
                <c:pt idx="3">
                  <c:v>5</c:v>
                </c:pt>
                <c:pt idx="4">
                  <c:v>10</c:v>
                </c:pt>
                <c:pt idx="5">
                  <c:v>20</c:v>
                </c:pt>
                <c:pt idx="6">
                  <c:v>30</c:v>
                </c:pt>
                <c:pt idx="7">
                  <c:v>40</c:v>
                </c:pt>
                <c:pt idx="8">
                  <c:v>50</c:v>
                </c:pt>
              </c:numCache>
            </c:numRef>
          </c:xVal>
          <c:yVal>
            <c:numRef>
              <c:f>czeta_tweak!$J$53:$J$61</c:f>
              <c:numCache>
                <c:formatCode>0.0%</c:formatCode>
                <c:ptCount val="9"/>
                <c:pt idx="0">
                  <c:v>1.9232680363115147</c:v>
                </c:pt>
                <c:pt idx="1">
                  <c:v>1.3823222536890745</c:v>
                </c:pt>
                <c:pt idx="2">
                  <c:v>1.2266192221982606</c:v>
                </c:pt>
                <c:pt idx="3">
                  <c:v>1.1629941102352979</c:v>
                </c:pt>
                <c:pt idx="4">
                  <c:v>1.6042278184406451</c:v>
                </c:pt>
                <c:pt idx="5">
                  <c:v>1.6591697947260133</c:v>
                </c:pt>
                <c:pt idx="6">
                  <c:v>1.3762743631733891</c:v>
                </c:pt>
                <c:pt idx="7">
                  <c:v>1.2552427591804169</c:v>
                </c:pt>
                <c:pt idx="8">
                  <c:v>1.1865743201407115</c:v>
                </c:pt>
              </c:numCache>
            </c:numRef>
          </c:yVal>
          <c:smooth val="0"/>
          <c:extLst>
            <c:ext xmlns:c16="http://schemas.microsoft.com/office/drawing/2014/chart" uri="{C3380CC4-5D6E-409C-BE32-E72D297353CC}">
              <c16:uniqueId val="{00000001-C0F6-4563-9006-64225F9BE459}"/>
            </c:ext>
          </c:extLst>
        </c:ser>
        <c:dLbls>
          <c:showLegendKey val="0"/>
          <c:showVal val="0"/>
          <c:showCatName val="0"/>
          <c:showSerName val="0"/>
          <c:showPercent val="0"/>
          <c:showBubbleSize val="0"/>
        </c:dLbls>
        <c:axId val="121952128"/>
        <c:axId val="121953664"/>
      </c:scatterChart>
      <c:valAx>
        <c:axId val="121952128"/>
        <c:scaling>
          <c:orientation val="minMax"/>
        </c:scaling>
        <c:delete val="0"/>
        <c:axPos val="b"/>
        <c:numFmt formatCode="General" sourceLinked="1"/>
        <c:majorTickMark val="out"/>
        <c:minorTickMark val="none"/>
        <c:tickLblPos val="nextTo"/>
        <c:crossAx val="121953664"/>
        <c:crosses val="autoZero"/>
        <c:crossBetween val="midCat"/>
      </c:valAx>
      <c:valAx>
        <c:axId val="121953664"/>
        <c:scaling>
          <c:orientation val="minMax"/>
        </c:scaling>
        <c:delete val="0"/>
        <c:axPos val="l"/>
        <c:majorGridlines/>
        <c:numFmt formatCode="0.0%" sourceLinked="1"/>
        <c:majorTickMark val="out"/>
        <c:minorTickMark val="none"/>
        <c:tickLblPos val="nextTo"/>
        <c:crossAx val="121952128"/>
        <c:crosses val="autoZero"/>
        <c:crossBetween val="midCat"/>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czeta_bkwd_3075s_trend_v3!$C$52:$C$57</c:f>
              <c:numCache>
                <c:formatCode>General</c:formatCode>
                <c:ptCount val="6"/>
                <c:pt idx="0">
                  <c:v>1</c:v>
                </c:pt>
                <c:pt idx="1">
                  <c:v>2</c:v>
                </c:pt>
                <c:pt idx="2">
                  <c:v>3</c:v>
                </c:pt>
                <c:pt idx="3">
                  <c:v>4</c:v>
                </c:pt>
                <c:pt idx="4">
                  <c:v>5</c:v>
                </c:pt>
                <c:pt idx="5">
                  <c:v>10</c:v>
                </c:pt>
              </c:numCache>
            </c:numRef>
          </c:xVal>
          <c:yVal>
            <c:numRef>
              <c:f>czeta_bkwd_3075s_trend_v3!$D$52:$D$57</c:f>
              <c:numCache>
                <c:formatCode>General</c:formatCode>
                <c:ptCount val="6"/>
                <c:pt idx="0">
                  <c:v>22.3</c:v>
                </c:pt>
                <c:pt idx="1">
                  <c:v>44.8</c:v>
                </c:pt>
                <c:pt idx="2">
                  <c:v>62</c:v>
                </c:pt>
                <c:pt idx="3">
                  <c:v>77.5</c:v>
                </c:pt>
                <c:pt idx="4">
                  <c:v>91.1</c:v>
                </c:pt>
                <c:pt idx="5">
                  <c:v>150.69999999999999</c:v>
                </c:pt>
              </c:numCache>
            </c:numRef>
          </c:yVal>
          <c:smooth val="0"/>
          <c:extLst>
            <c:ext xmlns:c16="http://schemas.microsoft.com/office/drawing/2014/chart" uri="{C3380CC4-5D6E-409C-BE32-E72D297353CC}">
              <c16:uniqueId val="{00000000-DD01-428A-94B9-7FF9F591EC59}"/>
            </c:ext>
          </c:extLst>
        </c:ser>
        <c:dLbls>
          <c:showLegendKey val="0"/>
          <c:showVal val="0"/>
          <c:showCatName val="0"/>
          <c:showSerName val="0"/>
          <c:showPercent val="0"/>
          <c:showBubbleSize val="0"/>
        </c:dLbls>
        <c:axId val="110046592"/>
        <c:axId val="110060672"/>
      </c:scatterChart>
      <c:valAx>
        <c:axId val="110046592"/>
        <c:scaling>
          <c:orientation val="minMax"/>
        </c:scaling>
        <c:delete val="0"/>
        <c:axPos val="b"/>
        <c:numFmt formatCode="General" sourceLinked="1"/>
        <c:majorTickMark val="out"/>
        <c:minorTickMark val="none"/>
        <c:tickLblPos val="nextTo"/>
        <c:crossAx val="110060672"/>
        <c:crosses val="autoZero"/>
        <c:crossBetween val="midCat"/>
      </c:valAx>
      <c:valAx>
        <c:axId val="110060672"/>
        <c:scaling>
          <c:orientation val="minMax"/>
        </c:scaling>
        <c:delete val="0"/>
        <c:axPos val="l"/>
        <c:majorGridlines/>
        <c:numFmt formatCode="General" sourceLinked="1"/>
        <c:majorTickMark val="out"/>
        <c:minorTickMark val="none"/>
        <c:tickLblPos val="nextTo"/>
        <c:crossAx val="110046592"/>
        <c:crosses val="autoZero"/>
        <c:crossBetween val="midCat"/>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czeta_bkwd_3075s_trend_v3!$H$78:$H$87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czeta_bkwd_3075s_trend_v3!$I$78:$I$87</c:f>
              <c:numCache>
                <c:formatCode>0.0</c:formatCode>
                <c:ptCount val="10"/>
                <c:pt idx="0">
                  <c:v>22.508728323243179</c:v>
                </c:pt>
                <c:pt idx="1">
                  <c:v>44.221444696150471</c:v>
                </c:pt>
                <c:pt idx="2">
                  <c:v>62.373428262465353</c:v>
                </c:pt>
                <c:pt idx="3">
                  <c:v>77.690518663519896</c:v>
                </c:pt>
                <c:pt idx="4">
                  <c:v>90.898555540646157</c:v>
                </c:pt>
                <c:pt idx="5">
                  <c:v>150.71151939984463</c:v>
                </c:pt>
                <c:pt idx="6">
                  <c:v>252.13714285714292</c:v>
                </c:pt>
                <c:pt idx="7">
                  <c:v>340.1942857142858</c:v>
                </c:pt>
                <c:pt idx="8">
                  <c:v>420.33714285714279</c:v>
                </c:pt>
                <c:pt idx="9">
                  <c:v>498.01571428571424</c:v>
                </c:pt>
              </c:numCache>
            </c:numRef>
          </c:yVal>
          <c:smooth val="0"/>
          <c:extLst>
            <c:ext xmlns:c16="http://schemas.microsoft.com/office/drawing/2014/chart" uri="{C3380CC4-5D6E-409C-BE32-E72D297353CC}">
              <c16:uniqueId val="{00000000-07AE-41EE-8045-DFE3EEE174DD}"/>
            </c:ext>
          </c:extLst>
        </c:ser>
        <c:dLbls>
          <c:showLegendKey val="0"/>
          <c:showVal val="0"/>
          <c:showCatName val="0"/>
          <c:showSerName val="0"/>
          <c:showPercent val="0"/>
          <c:showBubbleSize val="0"/>
        </c:dLbls>
        <c:axId val="110076672"/>
        <c:axId val="110078208"/>
      </c:scatterChart>
      <c:valAx>
        <c:axId val="110076672"/>
        <c:scaling>
          <c:orientation val="minMax"/>
        </c:scaling>
        <c:delete val="0"/>
        <c:axPos val="b"/>
        <c:numFmt formatCode="General" sourceLinked="1"/>
        <c:majorTickMark val="out"/>
        <c:minorTickMark val="none"/>
        <c:tickLblPos val="nextTo"/>
        <c:crossAx val="110078208"/>
        <c:crosses val="autoZero"/>
        <c:crossBetween val="midCat"/>
      </c:valAx>
      <c:valAx>
        <c:axId val="110078208"/>
        <c:scaling>
          <c:orientation val="minMax"/>
        </c:scaling>
        <c:delete val="0"/>
        <c:axPos val="l"/>
        <c:majorGridlines/>
        <c:numFmt formatCode="0.0" sourceLinked="1"/>
        <c:majorTickMark val="out"/>
        <c:minorTickMark val="none"/>
        <c:tickLblPos val="nextTo"/>
        <c:crossAx val="1100766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5875"/>
          </c:spPr>
          <c:marker>
            <c:symbol val="diamond"/>
            <c:size val="2"/>
          </c:marker>
          <c:xVal>
            <c:numRef>
              <c:f>czeta_bkwd_3075s_trend_v3!$W$149:$W$158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czeta_bkwd_3075s_trend_v3!$X$149:$X$158</c:f>
              <c:numCache>
                <c:formatCode>0.0000</c:formatCode>
                <c:ptCount val="10"/>
                <c:pt idx="0">
                  <c:v>1.2719377964304703</c:v>
                </c:pt>
                <c:pt idx="1">
                  <c:v>0.96145357598157333</c:v>
                </c:pt>
                <c:pt idx="2">
                  <c:v>0.82946548223307215</c:v>
                </c:pt>
                <c:pt idx="3">
                  <c:v>0.74932421258594284</c:v>
                </c:pt>
                <c:pt idx="4">
                  <c:v>0.69127712745711423</c:v>
                </c:pt>
                <c:pt idx="5">
                  <c:v>0.53698545571268352</c:v>
                </c:pt>
                <c:pt idx="6">
                  <c:v>0.43470787984188836</c:v>
                </c:pt>
                <c:pt idx="7">
                  <c:v>0.38179437755434958</c:v>
                </c:pt>
                <c:pt idx="8">
                  <c:v>0.34849284928886071</c:v>
                </c:pt>
                <c:pt idx="9">
                  <c:v>0.32816631833683368</c:v>
                </c:pt>
              </c:numCache>
            </c:numRef>
          </c:yVal>
          <c:smooth val="0"/>
          <c:extLst>
            <c:ext xmlns:c16="http://schemas.microsoft.com/office/drawing/2014/chart" uri="{C3380CC4-5D6E-409C-BE32-E72D297353CC}">
              <c16:uniqueId val="{00000000-3B36-43C8-B6AA-BACEAE9919A5}"/>
            </c:ext>
          </c:extLst>
        </c:ser>
        <c:ser>
          <c:idx val="1"/>
          <c:order val="1"/>
          <c:spPr>
            <a:ln w="15875"/>
          </c:spPr>
          <c:marker>
            <c:symbol val="square"/>
            <c:size val="2"/>
          </c:marker>
          <c:xVal>
            <c:numRef>
              <c:f>czeta_bkwd_3075s_trend_v3!$Y$149:$Y$158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czeta_bkwd_3075s_trend_v3!$Z$149:$Z$158</c:f>
              <c:numCache>
                <c:formatCode>0.0000</c:formatCode>
                <c:ptCount val="10"/>
                <c:pt idx="0">
                  <c:v>1.214204604920285</c:v>
                </c:pt>
                <c:pt idx="1">
                  <c:v>0.94178558278660662</c:v>
                </c:pt>
                <c:pt idx="2">
                  <c:v>0.83143438654578949</c:v>
                </c:pt>
                <c:pt idx="3">
                  <c:v>0.76534004310976567</c:v>
                </c:pt>
                <c:pt idx="4">
                  <c:v>0.71786624837291457</c:v>
                </c:pt>
                <c:pt idx="5">
                  <c:v>0.57439876697917092</c:v>
                </c:pt>
                <c:pt idx="6">
                  <c:v>0.47089010691917027</c:v>
                </c:pt>
                <c:pt idx="7">
                  <c:v>0.41902719697489649</c:v>
                </c:pt>
                <c:pt idx="8">
                  <c:v>0.38382582895724304</c:v>
                </c:pt>
                <c:pt idx="9">
                  <c:v>0.35861669533023494</c:v>
                </c:pt>
              </c:numCache>
            </c:numRef>
          </c:yVal>
          <c:smooth val="0"/>
          <c:extLst>
            <c:ext xmlns:c16="http://schemas.microsoft.com/office/drawing/2014/chart" uri="{C3380CC4-5D6E-409C-BE32-E72D297353CC}">
              <c16:uniqueId val="{00000001-3B36-43C8-B6AA-BACEAE9919A5}"/>
            </c:ext>
          </c:extLst>
        </c:ser>
        <c:ser>
          <c:idx val="2"/>
          <c:order val="2"/>
          <c:spPr>
            <a:ln w="15875"/>
          </c:spPr>
          <c:marker>
            <c:symbol val="triangle"/>
            <c:size val="2"/>
          </c:marker>
          <c:xVal>
            <c:numRef>
              <c:f>czeta_bkwd_3075s_trend_v3!$AA$149:$AA$158</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czeta_bkwd_3075s_trend_v3!$AB$149:$AB$158</c:f>
              <c:numCache>
                <c:formatCode>0.0000</c:formatCode>
                <c:ptCount val="10"/>
                <c:pt idx="0">
                  <c:v>1.0520690888441584</c:v>
                </c:pt>
                <c:pt idx="1">
                  <c:v>0.81696163592350124</c:v>
                </c:pt>
                <c:pt idx="2">
                  <c:v>0.71089158053897417</c:v>
                </c:pt>
                <c:pt idx="3">
                  <c:v>0.64386512626185421</c:v>
                </c:pt>
                <c:pt idx="4">
                  <c:v>0.59470835295325186</c:v>
                </c:pt>
                <c:pt idx="5">
                  <c:v>0.47969906728214473</c:v>
                </c:pt>
                <c:pt idx="6">
                  <c:v>0.39728546236880097</c:v>
                </c:pt>
                <c:pt idx="7">
                  <c:v>0.35234672795609262</c:v>
                </c:pt>
                <c:pt idx="8">
                  <c:v>0.32362286363689469</c:v>
                </c:pt>
                <c:pt idx="9">
                  <c:v>0.3056214303270221</c:v>
                </c:pt>
              </c:numCache>
            </c:numRef>
          </c:yVal>
          <c:smooth val="0"/>
          <c:extLst>
            <c:ext xmlns:c16="http://schemas.microsoft.com/office/drawing/2014/chart" uri="{C3380CC4-5D6E-409C-BE32-E72D297353CC}">
              <c16:uniqueId val="{00000002-3B36-43C8-B6AA-BACEAE9919A5}"/>
            </c:ext>
          </c:extLst>
        </c:ser>
        <c:dLbls>
          <c:showLegendKey val="0"/>
          <c:showVal val="0"/>
          <c:showCatName val="0"/>
          <c:showSerName val="0"/>
          <c:showPercent val="0"/>
          <c:showBubbleSize val="0"/>
        </c:dLbls>
        <c:axId val="118373760"/>
        <c:axId val="118375552"/>
      </c:scatterChart>
      <c:valAx>
        <c:axId val="118373760"/>
        <c:scaling>
          <c:orientation val="minMax"/>
        </c:scaling>
        <c:delete val="0"/>
        <c:axPos val="b"/>
        <c:numFmt formatCode="General" sourceLinked="1"/>
        <c:majorTickMark val="out"/>
        <c:minorTickMark val="none"/>
        <c:tickLblPos val="nextTo"/>
        <c:crossAx val="118375552"/>
        <c:crosses val="autoZero"/>
        <c:crossBetween val="midCat"/>
      </c:valAx>
      <c:valAx>
        <c:axId val="118375552"/>
        <c:scaling>
          <c:orientation val="minMax"/>
        </c:scaling>
        <c:delete val="0"/>
        <c:axPos val="l"/>
        <c:majorGridlines/>
        <c:numFmt formatCode="0.0000" sourceLinked="1"/>
        <c:majorTickMark val="out"/>
        <c:minorTickMark val="none"/>
        <c:tickLblPos val="nextTo"/>
        <c:crossAx val="11837376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czeta_bkwd_3075s_v7!$B$30:$B$39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czeta_bkwd_3075s_v7!$C$30:$C$39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9572-4EA6-B72F-8297AB80117C}"/>
            </c:ext>
          </c:extLst>
        </c:ser>
        <c:dLbls>
          <c:showLegendKey val="0"/>
          <c:showVal val="0"/>
          <c:showCatName val="0"/>
          <c:showSerName val="0"/>
          <c:showPercent val="0"/>
          <c:showBubbleSize val="0"/>
        </c:dLbls>
        <c:axId val="120846976"/>
        <c:axId val="120869248"/>
      </c:scatterChart>
      <c:valAx>
        <c:axId val="120846976"/>
        <c:scaling>
          <c:orientation val="minMax"/>
        </c:scaling>
        <c:delete val="0"/>
        <c:axPos val="b"/>
        <c:numFmt formatCode="General" sourceLinked="1"/>
        <c:majorTickMark val="out"/>
        <c:minorTickMark val="none"/>
        <c:tickLblPos val="nextTo"/>
        <c:crossAx val="120869248"/>
        <c:crosses val="autoZero"/>
        <c:crossBetween val="midCat"/>
      </c:valAx>
      <c:valAx>
        <c:axId val="120869248"/>
        <c:scaling>
          <c:orientation val="minMax"/>
        </c:scaling>
        <c:delete val="0"/>
        <c:axPos val="l"/>
        <c:majorGridlines/>
        <c:numFmt formatCode="0.00" sourceLinked="1"/>
        <c:majorTickMark val="out"/>
        <c:minorTickMark val="none"/>
        <c:tickLblPos val="nextTo"/>
        <c:crossAx val="120846976"/>
        <c:crosses val="autoZero"/>
        <c:crossBetween val="midCat"/>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czeta_bkwd_3075s_v7!$B$30:$B$39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czeta_bkwd_3075s_v7!$D$30:$D$39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EE77-4FA6-9521-7113B440D479}"/>
            </c:ext>
          </c:extLst>
        </c:ser>
        <c:dLbls>
          <c:showLegendKey val="0"/>
          <c:showVal val="0"/>
          <c:showCatName val="0"/>
          <c:showSerName val="0"/>
          <c:showPercent val="0"/>
          <c:showBubbleSize val="0"/>
        </c:dLbls>
        <c:axId val="120884608"/>
        <c:axId val="120890496"/>
      </c:scatterChart>
      <c:valAx>
        <c:axId val="120884608"/>
        <c:scaling>
          <c:orientation val="minMax"/>
        </c:scaling>
        <c:delete val="0"/>
        <c:axPos val="b"/>
        <c:numFmt formatCode="General" sourceLinked="1"/>
        <c:majorTickMark val="out"/>
        <c:minorTickMark val="none"/>
        <c:tickLblPos val="nextTo"/>
        <c:crossAx val="120890496"/>
        <c:crosses val="autoZero"/>
        <c:crossBetween val="midCat"/>
      </c:valAx>
      <c:valAx>
        <c:axId val="120890496"/>
        <c:scaling>
          <c:orientation val="minMax"/>
        </c:scaling>
        <c:delete val="0"/>
        <c:axPos val="l"/>
        <c:majorGridlines/>
        <c:numFmt formatCode="0.00" sourceLinked="1"/>
        <c:majorTickMark val="out"/>
        <c:minorTickMark val="none"/>
        <c:tickLblPos val="nextTo"/>
        <c:crossAx val="120884608"/>
        <c:crosses val="autoZero"/>
        <c:crossBetween val="midCat"/>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czeta_bkwd_3075s_v7!$C$83:$C$87</c:f>
              <c:numCache>
                <c:formatCode>General</c:formatCode>
                <c:ptCount val="5"/>
                <c:pt idx="0">
                  <c:v>10</c:v>
                </c:pt>
                <c:pt idx="1">
                  <c:v>20</c:v>
                </c:pt>
                <c:pt idx="2">
                  <c:v>30</c:v>
                </c:pt>
                <c:pt idx="3">
                  <c:v>40</c:v>
                </c:pt>
                <c:pt idx="4">
                  <c:v>50</c:v>
                </c:pt>
              </c:numCache>
            </c:numRef>
          </c:xVal>
          <c:yVal>
            <c:numRef>
              <c:f>czeta_bkwd_3075s_v7!$D$83:$D$87</c:f>
              <c:numCache>
                <c:formatCode>General</c:formatCode>
                <c:ptCount val="5"/>
                <c:pt idx="0">
                  <c:v>150.69999999999999</c:v>
                </c:pt>
                <c:pt idx="1">
                  <c:v>252.2</c:v>
                </c:pt>
                <c:pt idx="2">
                  <c:v>340.1</c:v>
                </c:pt>
                <c:pt idx="3">
                  <c:v>420.4</c:v>
                </c:pt>
                <c:pt idx="4">
                  <c:v>498</c:v>
                </c:pt>
              </c:numCache>
            </c:numRef>
          </c:yVal>
          <c:smooth val="0"/>
          <c:extLst>
            <c:ext xmlns:c16="http://schemas.microsoft.com/office/drawing/2014/chart" uri="{C3380CC4-5D6E-409C-BE32-E72D297353CC}">
              <c16:uniqueId val="{00000001-62CC-4FF6-BAF1-63BCE7CB7F69}"/>
            </c:ext>
          </c:extLst>
        </c:ser>
        <c:dLbls>
          <c:showLegendKey val="0"/>
          <c:showVal val="0"/>
          <c:showCatName val="0"/>
          <c:showSerName val="0"/>
          <c:showPercent val="0"/>
          <c:showBubbleSize val="0"/>
        </c:dLbls>
        <c:axId val="120910976"/>
        <c:axId val="120912512"/>
      </c:scatterChart>
      <c:valAx>
        <c:axId val="120910976"/>
        <c:scaling>
          <c:orientation val="minMax"/>
        </c:scaling>
        <c:delete val="0"/>
        <c:axPos val="b"/>
        <c:numFmt formatCode="General" sourceLinked="1"/>
        <c:majorTickMark val="out"/>
        <c:minorTickMark val="none"/>
        <c:tickLblPos val="nextTo"/>
        <c:crossAx val="120912512"/>
        <c:crosses val="autoZero"/>
        <c:crossBetween val="midCat"/>
      </c:valAx>
      <c:valAx>
        <c:axId val="120912512"/>
        <c:scaling>
          <c:orientation val="minMax"/>
        </c:scaling>
        <c:delete val="0"/>
        <c:axPos val="l"/>
        <c:majorGridlines/>
        <c:numFmt formatCode="General" sourceLinked="1"/>
        <c:majorTickMark val="out"/>
        <c:minorTickMark val="none"/>
        <c:tickLblPos val="nextTo"/>
        <c:crossAx val="120910976"/>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czeta_bkwd_3075s_actual_v1!$B$30:$B$39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czeta_bkwd_3075s_actual_v1!$D$30:$D$39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2D40-4878-9F26-FBBBEAB621DB}"/>
            </c:ext>
          </c:extLst>
        </c:ser>
        <c:dLbls>
          <c:showLegendKey val="0"/>
          <c:showVal val="0"/>
          <c:showCatName val="0"/>
          <c:showSerName val="0"/>
          <c:showPercent val="0"/>
          <c:showBubbleSize val="0"/>
        </c:dLbls>
        <c:axId val="90734976"/>
        <c:axId val="90736512"/>
      </c:scatterChart>
      <c:valAx>
        <c:axId val="90734976"/>
        <c:scaling>
          <c:orientation val="minMax"/>
        </c:scaling>
        <c:delete val="0"/>
        <c:axPos val="b"/>
        <c:numFmt formatCode="General" sourceLinked="1"/>
        <c:majorTickMark val="out"/>
        <c:minorTickMark val="none"/>
        <c:tickLblPos val="nextTo"/>
        <c:crossAx val="90736512"/>
        <c:crosses val="autoZero"/>
        <c:crossBetween val="midCat"/>
      </c:valAx>
      <c:valAx>
        <c:axId val="90736512"/>
        <c:scaling>
          <c:orientation val="minMax"/>
        </c:scaling>
        <c:delete val="0"/>
        <c:axPos val="l"/>
        <c:majorGridlines/>
        <c:numFmt formatCode="0.00" sourceLinked="1"/>
        <c:majorTickMark val="out"/>
        <c:minorTickMark val="none"/>
        <c:tickLblPos val="nextTo"/>
        <c:crossAx val="90734976"/>
        <c:crosses val="autoZero"/>
        <c:crossBetween val="midCat"/>
      </c:valAx>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czeta_bkwd_3075s_v7!$C$52:$C$57</c:f>
              <c:numCache>
                <c:formatCode>General</c:formatCode>
                <c:ptCount val="6"/>
                <c:pt idx="0">
                  <c:v>1</c:v>
                </c:pt>
                <c:pt idx="1">
                  <c:v>2</c:v>
                </c:pt>
                <c:pt idx="2">
                  <c:v>3</c:v>
                </c:pt>
                <c:pt idx="3">
                  <c:v>4</c:v>
                </c:pt>
                <c:pt idx="4">
                  <c:v>5</c:v>
                </c:pt>
                <c:pt idx="5">
                  <c:v>10</c:v>
                </c:pt>
              </c:numCache>
            </c:numRef>
          </c:xVal>
          <c:yVal>
            <c:numRef>
              <c:f>czeta_bkwd_3075s_v7!$D$52:$D$57</c:f>
              <c:numCache>
                <c:formatCode>General</c:formatCode>
                <c:ptCount val="6"/>
                <c:pt idx="0">
                  <c:v>22.3</c:v>
                </c:pt>
                <c:pt idx="1">
                  <c:v>44.8</c:v>
                </c:pt>
                <c:pt idx="2">
                  <c:v>62</c:v>
                </c:pt>
                <c:pt idx="3">
                  <c:v>77.5</c:v>
                </c:pt>
                <c:pt idx="4">
                  <c:v>91.1</c:v>
                </c:pt>
                <c:pt idx="5">
                  <c:v>150.69999999999999</c:v>
                </c:pt>
              </c:numCache>
            </c:numRef>
          </c:yVal>
          <c:smooth val="0"/>
          <c:extLst>
            <c:ext xmlns:c16="http://schemas.microsoft.com/office/drawing/2014/chart" uri="{C3380CC4-5D6E-409C-BE32-E72D297353CC}">
              <c16:uniqueId val="{00000000-5C0A-45C9-A0D0-9453ECFA1D66}"/>
            </c:ext>
          </c:extLst>
        </c:ser>
        <c:dLbls>
          <c:showLegendKey val="0"/>
          <c:showVal val="0"/>
          <c:showCatName val="0"/>
          <c:showSerName val="0"/>
          <c:showPercent val="0"/>
          <c:showBubbleSize val="0"/>
        </c:dLbls>
        <c:axId val="122046336"/>
        <c:axId val="122047872"/>
      </c:scatterChart>
      <c:valAx>
        <c:axId val="122046336"/>
        <c:scaling>
          <c:orientation val="minMax"/>
        </c:scaling>
        <c:delete val="0"/>
        <c:axPos val="b"/>
        <c:numFmt formatCode="General" sourceLinked="1"/>
        <c:majorTickMark val="out"/>
        <c:minorTickMark val="none"/>
        <c:tickLblPos val="nextTo"/>
        <c:crossAx val="122047872"/>
        <c:crosses val="autoZero"/>
        <c:crossBetween val="midCat"/>
      </c:valAx>
      <c:valAx>
        <c:axId val="122047872"/>
        <c:scaling>
          <c:orientation val="minMax"/>
        </c:scaling>
        <c:delete val="0"/>
        <c:axPos val="l"/>
        <c:majorGridlines/>
        <c:numFmt formatCode="General" sourceLinked="1"/>
        <c:majorTickMark val="out"/>
        <c:minorTickMark val="none"/>
        <c:tickLblPos val="nextTo"/>
        <c:crossAx val="122046336"/>
        <c:crosses val="autoZero"/>
        <c:crossBetween val="midCat"/>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czeta_bkwd_3075s_v7!$H$78:$H$87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czeta_bkwd_3075s_v7!$I$78:$I$87</c:f>
              <c:numCache>
                <c:formatCode>0.0</c:formatCode>
                <c:ptCount val="10"/>
                <c:pt idx="0">
                  <c:v>22.354285714285723</c:v>
                </c:pt>
                <c:pt idx="1">
                  <c:v>44.582857142857115</c:v>
                </c:pt>
                <c:pt idx="2">
                  <c:v>62.325714285714263</c:v>
                </c:pt>
                <c:pt idx="3">
                  <c:v>77.282857142857154</c:v>
                </c:pt>
                <c:pt idx="4">
                  <c:v>91.154285714285763</c:v>
                </c:pt>
                <c:pt idx="5">
                  <c:v>150.71571428571431</c:v>
                </c:pt>
                <c:pt idx="6">
                  <c:v>252.13714285714292</c:v>
                </c:pt>
                <c:pt idx="7">
                  <c:v>340.1942857142858</c:v>
                </c:pt>
                <c:pt idx="8">
                  <c:v>420.33714285714279</c:v>
                </c:pt>
                <c:pt idx="9">
                  <c:v>498.01571428571424</c:v>
                </c:pt>
              </c:numCache>
            </c:numRef>
          </c:yVal>
          <c:smooth val="0"/>
          <c:extLst>
            <c:ext xmlns:c16="http://schemas.microsoft.com/office/drawing/2014/chart" uri="{C3380CC4-5D6E-409C-BE32-E72D297353CC}">
              <c16:uniqueId val="{00000000-DE93-4327-8E66-8BE0B56FF039}"/>
            </c:ext>
          </c:extLst>
        </c:ser>
        <c:dLbls>
          <c:showLegendKey val="0"/>
          <c:showVal val="0"/>
          <c:showCatName val="0"/>
          <c:showSerName val="0"/>
          <c:showPercent val="0"/>
          <c:showBubbleSize val="0"/>
        </c:dLbls>
        <c:axId val="122059392"/>
        <c:axId val="122065280"/>
      </c:scatterChart>
      <c:valAx>
        <c:axId val="122059392"/>
        <c:scaling>
          <c:orientation val="minMax"/>
        </c:scaling>
        <c:delete val="0"/>
        <c:axPos val="b"/>
        <c:numFmt formatCode="General" sourceLinked="1"/>
        <c:majorTickMark val="out"/>
        <c:minorTickMark val="none"/>
        <c:tickLblPos val="nextTo"/>
        <c:crossAx val="122065280"/>
        <c:crosses val="autoZero"/>
        <c:crossBetween val="midCat"/>
      </c:valAx>
      <c:valAx>
        <c:axId val="122065280"/>
        <c:scaling>
          <c:orientation val="minMax"/>
        </c:scaling>
        <c:delete val="0"/>
        <c:axPos val="l"/>
        <c:majorGridlines/>
        <c:numFmt formatCode="0.0" sourceLinked="1"/>
        <c:majorTickMark val="out"/>
        <c:minorTickMark val="none"/>
        <c:tickLblPos val="nextTo"/>
        <c:crossAx val="1220593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czeta_bkwd_3075s_v8!$B$30:$B$39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czeta_bkwd_3075s_v8!$C$30:$C$39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C2C3-4278-9616-38969E9800DD}"/>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czeta_bkwd_3075s_v8!$B$30:$B$39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czeta_bkwd_3075s_v8!$D$30:$D$39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BEED-4E19-9882-D092BA24DAAC}"/>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czeta_bkwd_3075s_v8!$C$139:$C$143</c:f>
              <c:numCache>
                <c:formatCode>General</c:formatCode>
                <c:ptCount val="5"/>
                <c:pt idx="0">
                  <c:v>10</c:v>
                </c:pt>
                <c:pt idx="1">
                  <c:v>20</c:v>
                </c:pt>
                <c:pt idx="2">
                  <c:v>30</c:v>
                </c:pt>
                <c:pt idx="3">
                  <c:v>40</c:v>
                </c:pt>
                <c:pt idx="4">
                  <c:v>50</c:v>
                </c:pt>
              </c:numCache>
            </c:numRef>
          </c:xVal>
          <c:yVal>
            <c:numRef>
              <c:f>czeta_bkwd_3075s_v8!$D$139:$D$143</c:f>
              <c:numCache>
                <c:formatCode>General</c:formatCode>
                <c:ptCount val="5"/>
                <c:pt idx="0">
                  <c:v>150.69999999999999</c:v>
                </c:pt>
                <c:pt idx="1">
                  <c:v>252.2</c:v>
                </c:pt>
                <c:pt idx="2">
                  <c:v>340.1</c:v>
                </c:pt>
                <c:pt idx="3">
                  <c:v>420.4</c:v>
                </c:pt>
                <c:pt idx="4">
                  <c:v>498</c:v>
                </c:pt>
              </c:numCache>
            </c:numRef>
          </c:yVal>
          <c:smooth val="0"/>
          <c:extLst>
            <c:ext xmlns:c16="http://schemas.microsoft.com/office/drawing/2014/chart" uri="{C3380CC4-5D6E-409C-BE32-E72D297353CC}">
              <c16:uniqueId val="{00000001-E618-4776-B709-CC0FFC12B033}"/>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czeta_bkwd_3075s_v8!$C$108:$C$112</c:f>
              <c:numCache>
                <c:formatCode>General</c:formatCode>
                <c:ptCount val="5"/>
                <c:pt idx="0">
                  <c:v>1</c:v>
                </c:pt>
                <c:pt idx="1">
                  <c:v>2</c:v>
                </c:pt>
                <c:pt idx="2">
                  <c:v>3</c:v>
                </c:pt>
                <c:pt idx="3">
                  <c:v>4</c:v>
                </c:pt>
                <c:pt idx="4">
                  <c:v>5</c:v>
                </c:pt>
              </c:numCache>
            </c:numRef>
          </c:xVal>
          <c:yVal>
            <c:numRef>
              <c:f>czeta_bkwd_3075s_v8!$D$108:$D$112</c:f>
              <c:numCache>
                <c:formatCode>General</c:formatCode>
                <c:ptCount val="5"/>
                <c:pt idx="0">
                  <c:v>22.3</c:v>
                </c:pt>
                <c:pt idx="1">
                  <c:v>44.8</c:v>
                </c:pt>
                <c:pt idx="2">
                  <c:v>62</c:v>
                </c:pt>
                <c:pt idx="3">
                  <c:v>77.5</c:v>
                </c:pt>
                <c:pt idx="4">
                  <c:v>91.1</c:v>
                </c:pt>
              </c:numCache>
            </c:numRef>
          </c:yVal>
          <c:smooth val="0"/>
          <c:extLst>
            <c:ext xmlns:c16="http://schemas.microsoft.com/office/drawing/2014/chart" uri="{C3380CC4-5D6E-409C-BE32-E72D297353CC}">
              <c16:uniqueId val="{00000000-8035-411C-A838-EA852FA3D096}"/>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General"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czeta_bkwd_3075s_v8!$H$134:$H$143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czeta_bkwd_3075s_v8!$I$134:$I$143</c:f>
              <c:numCache>
                <c:formatCode>0.0</c:formatCode>
                <c:ptCount val="10"/>
                <c:pt idx="0">
                  <c:v>22.354285714285723</c:v>
                </c:pt>
                <c:pt idx="1">
                  <c:v>44.582857142857115</c:v>
                </c:pt>
                <c:pt idx="2">
                  <c:v>62.325714285714263</c:v>
                </c:pt>
                <c:pt idx="3">
                  <c:v>77.282857142857154</c:v>
                </c:pt>
                <c:pt idx="4">
                  <c:v>91.154285714285763</c:v>
                </c:pt>
                <c:pt idx="5">
                  <c:v>150.71571428571431</c:v>
                </c:pt>
                <c:pt idx="6">
                  <c:v>252.13714285714292</c:v>
                </c:pt>
                <c:pt idx="7">
                  <c:v>340.1942857142858</c:v>
                </c:pt>
                <c:pt idx="8">
                  <c:v>420.33714285714279</c:v>
                </c:pt>
                <c:pt idx="9">
                  <c:v>498.01571428571424</c:v>
                </c:pt>
              </c:numCache>
            </c:numRef>
          </c:yVal>
          <c:smooth val="0"/>
          <c:extLst>
            <c:ext xmlns:c16="http://schemas.microsoft.com/office/drawing/2014/chart" uri="{C3380CC4-5D6E-409C-BE32-E72D297353CC}">
              <c16:uniqueId val="{00000000-22CA-46BB-83EF-39E8AE46DB85}"/>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czeta_bkwd_3075s_v8!$C$109:$C$117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czeta_bkwd_3075s_v8!$E$109:$E$117</c:f>
              <c:numCache>
                <c:formatCode>0.00</c:formatCode>
                <c:ptCount val="9"/>
                <c:pt idx="0">
                  <c:v>2.0089686098654709</c:v>
                </c:pt>
                <c:pt idx="1">
                  <c:v>1.3839285714285716</c:v>
                </c:pt>
                <c:pt idx="2">
                  <c:v>1.25</c:v>
                </c:pt>
                <c:pt idx="3">
                  <c:v>1.1754838709677418</c:v>
                </c:pt>
                <c:pt idx="4">
                  <c:v>0.3308452250274424</c:v>
                </c:pt>
                <c:pt idx="5">
                  <c:v>0.16735235567352355</c:v>
                </c:pt>
                <c:pt idx="6">
                  <c:v>0.13485329103885807</c:v>
                </c:pt>
                <c:pt idx="7">
                  <c:v>0.12361070273448985</c:v>
                </c:pt>
                <c:pt idx="8">
                  <c:v>0.11845861084681257</c:v>
                </c:pt>
              </c:numCache>
            </c:numRef>
          </c:yVal>
          <c:smooth val="0"/>
          <c:extLst>
            <c:ext xmlns:c16="http://schemas.microsoft.com/office/drawing/2014/chart" uri="{C3380CC4-5D6E-409C-BE32-E72D297353CC}">
              <c16:uniqueId val="{00000000-281B-4B0B-A0E3-5649441BF3A5}"/>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czeta_bkwd_3171_3304_aver_v9!$B$30:$B$39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czeta_bkwd_3171_3304_aver_v9!$C$30:$C$39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0A75-4A99-A0BA-0F1F347D1651}"/>
            </c:ext>
          </c:extLst>
        </c:ser>
        <c:dLbls>
          <c:showLegendKey val="0"/>
          <c:showVal val="0"/>
          <c:showCatName val="0"/>
          <c:showSerName val="0"/>
          <c:showPercent val="0"/>
          <c:showBubbleSize val="0"/>
        </c:dLbls>
        <c:axId val="121772288"/>
        <c:axId val="121794560"/>
      </c:scatterChart>
      <c:valAx>
        <c:axId val="121772288"/>
        <c:scaling>
          <c:orientation val="minMax"/>
        </c:scaling>
        <c:delete val="0"/>
        <c:axPos val="b"/>
        <c:numFmt formatCode="General" sourceLinked="1"/>
        <c:majorTickMark val="out"/>
        <c:minorTickMark val="none"/>
        <c:tickLblPos val="nextTo"/>
        <c:crossAx val="121794560"/>
        <c:crosses val="autoZero"/>
        <c:crossBetween val="midCat"/>
      </c:valAx>
      <c:valAx>
        <c:axId val="121794560"/>
        <c:scaling>
          <c:orientation val="minMax"/>
        </c:scaling>
        <c:delete val="0"/>
        <c:axPos val="l"/>
        <c:majorGridlines/>
        <c:numFmt formatCode="0.00" sourceLinked="1"/>
        <c:majorTickMark val="out"/>
        <c:minorTickMark val="none"/>
        <c:tickLblPos val="nextTo"/>
        <c:crossAx val="121772288"/>
        <c:crosses val="autoZero"/>
        <c:crossBetween val="midCat"/>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czeta_bkwd_3171_3304_aver_v9!$B$30:$B$39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czeta_bkwd_3171_3304_aver_v9!$D$30:$D$39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4069-456B-A193-6B99B58B782E}"/>
            </c:ext>
          </c:extLst>
        </c:ser>
        <c:dLbls>
          <c:showLegendKey val="0"/>
          <c:showVal val="0"/>
          <c:showCatName val="0"/>
          <c:showSerName val="0"/>
          <c:showPercent val="0"/>
          <c:showBubbleSize val="0"/>
        </c:dLbls>
        <c:axId val="121805824"/>
        <c:axId val="121811712"/>
      </c:scatterChart>
      <c:valAx>
        <c:axId val="121805824"/>
        <c:scaling>
          <c:orientation val="minMax"/>
        </c:scaling>
        <c:delete val="0"/>
        <c:axPos val="b"/>
        <c:numFmt formatCode="General" sourceLinked="1"/>
        <c:majorTickMark val="out"/>
        <c:minorTickMark val="none"/>
        <c:tickLblPos val="nextTo"/>
        <c:crossAx val="121811712"/>
        <c:crosses val="autoZero"/>
        <c:crossBetween val="midCat"/>
      </c:valAx>
      <c:valAx>
        <c:axId val="121811712"/>
        <c:scaling>
          <c:orientation val="minMax"/>
        </c:scaling>
        <c:delete val="0"/>
        <c:axPos val="l"/>
        <c:majorGridlines/>
        <c:numFmt formatCode="0.00" sourceLinked="1"/>
        <c:majorTickMark val="out"/>
        <c:minorTickMark val="none"/>
        <c:tickLblPos val="nextTo"/>
        <c:crossAx val="12180582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5704152148099121"/>
                  <c:y val="-2.2412153368705577E-2"/>
                </c:manualLayout>
              </c:layout>
              <c:numFmt formatCode="#,##0.00000" sourceLinked="0"/>
              <c:txPr>
                <a:bodyPr/>
                <a:lstStyle/>
                <a:p>
                  <a:pPr>
                    <a:defRPr sz="1050"/>
                  </a:pPr>
                  <a:endParaRPr lang="en-US"/>
                </a:p>
              </c:txPr>
            </c:trendlineLbl>
          </c:trendline>
          <c:xVal>
            <c:numRef>
              <c:f>czeta_bkwd_3075s_actual_v1!$C$82:$C$87</c:f>
              <c:numCache>
                <c:formatCode>General</c:formatCode>
                <c:ptCount val="6"/>
                <c:pt idx="0">
                  <c:v>5</c:v>
                </c:pt>
                <c:pt idx="1">
                  <c:v>10</c:v>
                </c:pt>
                <c:pt idx="2">
                  <c:v>20</c:v>
                </c:pt>
                <c:pt idx="3">
                  <c:v>30</c:v>
                </c:pt>
                <c:pt idx="4">
                  <c:v>40</c:v>
                </c:pt>
                <c:pt idx="5">
                  <c:v>50</c:v>
                </c:pt>
              </c:numCache>
            </c:numRef>
          </c:xVal>
          <c:yVal>
            <c:numRef>
              <c:f>czeta_bkwd_3075s_actual_v1!$D$82:$D$87</c:f>
              <c:numCache>
                <c:formatCode>General</c:formatCode>
                <c:ptCount val="6"/>
                <c:pt idx="0">
                  <c:v>91.1</c:v>
                </c:pt>
                <c:pt idx="1">
                  <c:v>150.69999999999999</c:v>
                </c:pt>
                <c:pt idx="2">
                  <c:v>252.2</c:v>
                </c:pt>
                <c:pt idx="3">
                  <c:v>340.1</c:v>
                </c:pt>
                <c:pt idx="4">
                  <c:v>420.4</c:v>
                </c:pt>
                <c:pt idx="5">
                  <c:v>498</c:v>
                </c:pt>
              </c:numCache>
            </c:numRef>
          </c:yVal>
          <c:smooth val="0"/>
          <c:extLst>
            <c:ext xmlns:c16="http://schemas.microsoft.com/office/drawing/2014/chart" uri="{C3380CC4-5D6E-409C-BE32-E72D297353CC}">
              <c16:uniqueId val="{00000001-961D-43C5-8A0C-E3DD64F89B08}"/>
            </c:ext>
          </c:extLst>
        </c:ser>
        <c:dLbls>
          <c:showLegendKey val="0"/>
          <c:showVal val="0"/>
          <c:showCatName val="0"/>
          <c:showSerName val="0"/>
          <c:showPercent val="0"/>
          <c:showBubbleSize val="0"/>
        </c:dLbls>
        <c:axId val="90756992"/>
        <c:axId val="90758528"/>
      </c:scatterChart>
      <c:valAx>
        <c:axId val="90756992"/>
        <c:scaling>
          <c:orientation val="minMax"/>
        </c:scaling>
        <c:delete val="0"/>
        <c:axPos val="b"/>
        <c:numFmt formatCode="General" sourceLinked="1"/>
        <c:majorTickMark val="out"/>
        <c:minorTickMark val="none"/>
        <c:tickLblPos val="nextTo"/>
        <c:crossAx val="90758528"/>
        <c:crosses val="autoZero"/>
        <c:crossBetween val="midCat"/>
      </c:valAx>
      <c:valAx>
        <c:axId val="90758528"/>
        <c:scaling>
          <c:orientation val="minMax"/>
        </c:scaling>
        <c:delete val="0"/>
        <c:axPos val="l"/>
        <c:majorGridlines/>
        <c:numFmt formatCode="General" sourceLinked="1"/>
        <c:majorTickMark val="out"/>
        <c:minorTickMark val="none"/>
        <c:tickLblPos val="nextTo"/>
        <c:crossAx val="90756992"/>
        <c:crosses val="autoZero"/>
        <c:crossBetween val="midCat"/>
      </c:valAx>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czeta_bkwd_3171_3304_aver_v9!$C$83:$C$87</c:f>
              <c:numCache>
                <c:formatCode>General</c:formatCode>
                <c:ptCount val="5"/>
                <c:pt idx="0">
                  <c:v>10</c:v>
                </c:pt>
                <c:pt idx="1">
                  <c:v>20</c:v>
                </c:pt>
                <c:pt idx="2">
                  <c:v>30</c:v>
                </c:pt>
                <c:pt idx="3">
                  <c:v>40</c:v>
                </c:pt>
                <c:pt idx="4">
                  <c:v>50</c:v>
                </c:pt>
              </c:numCache>
            </c:numRef>
          </c:xVal>
          <c:yVal>
            <c:numRef>
              <c:f>czeta_bkwd_3171_3304_aver_v9!$D$83:$D$87</c:f>
              <c:numCache>
                <c:formatCode>General</c:formatCode>
                <c:ptCount val="5"/>
                <c:pt idx="0">
                  <c:v>175.9</c:v>
                </c:pt>
                <c:pt idx="1">
                  <c:v>289.14999999999998</c:v>
                </c:pt>
                <c:pt idx="2">
                  <c:v>394.04999999999995</c:v>
                </c:pt>
                <c:pt idx="3">
                  <c:v>491.55</c:v>
                </c:pt>
                <c:pt idx="4">
                  <c:v>578.54999999999995</c:v>
                </c:pt>
              </c:numCache>
            </c:numRef>
          </c:yVal>
          <c:smooth val="0"/>
          <c:extLst>
            <c:ext xmlns:c16="http://schemas.microsoft.com/office/drawing/2014/chart" uri="{C3380CC4-5D6E-409C-BE32-E72D297353CC}">
              <c16:uniqueId val="{00000001-58B4-4248-85A2-89BB5859CAAA}"/>
            </c:ext>
          </c:extLst>
        </c:ser>
        <c:dLbls>
          <c:showLegendKey val="0"/>
          <c:showVal val="0"/>
          <c:showCatName val="0"/>
          <c:showSerName val="0"/>
          <c:showPercent val="0"/>
          <c:showBubbleSize val="0"/>
        </c:dLbls>
        <c:axId val="121828096"/>
        <c:axId val="121829632"/>
      </c:scatterChart>
      <c:valAx>
        <c:axId val="121828096"/>
        <c:scaling>
          <c:orientation val="minMax"/>
        </c:scaling>
        <c:delete val="0"/>
        <c:axPos val="b"/>
        <c:numFmt formatCode="General" sourceLinked="1"/>
        <c:majorTickMark val="out"/>
        <c:minorTickMark val="none"/>
        <c:tickLblPos val="nextTo"/>
        <c:crossAx val="121829632"/>
        <c:crosses val="autoZero"/>
        <c:crossBetween val="midCat"/>
      </c:valAx>
      <c:valAx>
        <c:axId val="121829632"/>
        <c:scaling>
          <c:orientation val="minMax"/>
        </c:scaling>
        <c:delete val="0"/>
        <c:axPos val="l"/>
        <c:majorGridlines/>
        <c:numFmt formatCode="General" sourceLinked="1"/>
        <c:majorTickMark val="out"/>
        <c:minorTickMark val="none"/>
        <c:tickLblPos val="nextTo"/>
        <c:crossAx val="121828096"/>
        <c:crosses val="autoZero"/>
        <c:crossBetween val="midCat"/>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czeta_bkwd_3171_3304_aver_v9!$C$52:$C$57</c:f>
              <c:numCache>
                <c:formatCode>General</c:formatCode>
                <c:ptCount val="6"/>
                <c:pt idx="0">
                  <c:v>1</c:v>
                </c:pt>
                <c:pt idx="1">
                  <c:v>2</c:v>
                </c:pt>
                <c:pt idx="2">
                  <c:v>3</c:v>
                </c:pt>
                <c:pt idx="3">
                  <c:v>4</c:v>
                </c:pt>
                <c:pt idx="4">
                  <c:v>5</c:v>
                </c:pt>
                <c:pt idx="5">
                  <c:v>10</c:v>
                </c:pt>
              </c:numCache>
            </c:numRef>
          </c:xVal>
          <c:yVal>
            <c:numRef>
              <c:f>czeta_bkwd_3171_3304_aver_v9!$D$52:$D$57</c:f>
              <c:numCache>
                <c:formatCode>General</c:formatCode>
                <c:ptCount val="6"/>
                <c:pt idx="0">
                  <c:v>28.6</c:v>
                </c:pt>
                <c:pt idx="1">
                  <c:v>54.2</c:v>
                </c:pt>
                <c:pt idx="2">
                  <c:v>74.849999999999994</c:v>
                </c:pt>
                <c:pt idx="3">
                  <c:v>92.300000000000011</c:v>
                </c:pt>
                <c:pt idx="4">
                  <c:v>108</c:v>
                </c:pt>
                <c:pt idx="5">
                  <c:v>175.9</c:v>
                </c:pt>
              </c:numCache>
            </c:numRef>
          </c:yVal>
          <c:smooth val="0"/>
          <c:extLst>
            <c:ext xmlns:c16="http://schemas.microsoft.com/office/drawing/2014/chart" uri="{C3380CC4-5D6E-409C-BE32-E72D297353CC}">
              <c16:uniqueId val="{00000000-3DBB-437B-923F-2B0F63142CCE}"/>
            </c:ext>
          </c:extLst>
        </c:ser>
        <c:dLbls>
          <c:showLegendKey val="0"/>
          <c:showVal val="0"/>
          <c:showCatName val="0"/>
          <c:showSerName val="0"/>
          <c:showPercent val="0"/>
          <c:showBubbleSize val="0"/>
        </c:dLbls>
        <c:axId val="122009088"/>
        <c:axId val="122010624"/>
      </c:scatterChart>
      <c:valAx>
        <c:axId val="122009088"/>
        <c:scaling>
          <c:orientation val="minMax"/>
        </c:scaling>
        <c:delete val="0"/>
        <c:axPos val="b"/>
        <c:numFmt formatCode="General" sourceLinked="1"/>
        <c:majorTickMark val="out"/>
        <c:minorTickMark val="none"/>
        <c:tickLblPos val="nextTo"/>
        <c:crossAx val="122010624"/>
        <c:crosses val="autoZero"/>
        <c:crossBetween val="midCat"/>
      </c:valAx>
      <c:valAx>
        <c:axId val="122010624"/>
        <c:scaling>
          <c:orientation val="minMax"/>
        </c:scaling>
        <c:delete val="0"/>
        <c:axPos val="l"/>
        <c:majorGridlines/>
        <c:numFmt formatCode="General" sourceLinked="1"/>
        <c:majorTickMark val="out"/>
        <c:minorTickMark val="none"/>
        <c:tickLblPos val="nextTo"/>
        <c:crossAx val="122009088"/>
        <c:crosses val="autoZero"/>
        <c:crossBetween val="midCat"/>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5875"/>
          </c:spPr>
          <c:marker>
            <c:symbol val="circle"/>
            <c:size val="2"/>
          </c:marker>
          <c:xVal>
            <c:numRef>
              <c:f>czeta_bkwd_3171_3304_aver_v9!$H$78:$H$87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czeta_bkwd_3171_3304_aver_v9!$I$78:$I$87</c:f>
              <c:numCache>
                <c:formatCode>0.0</c:formatCode>
                <c:ptCount val="10"/>
                <c:pt idx="0">
                  <c:v>28.60428571428573</c:v>
                </c:pt>
                <c:pt idx="1">
                  <c:v>54.182857142857124</c:v>
                </c:pt>
                <c:pt idx="2">
                  <c:v>74.875714285714281</c:v>
                </c:pt>
                <c:pt idx="3">
                  <c:v>92.282857142857154</c:v>
                </c:pt>
                <c:pt idx="4">
                  <c:v>108.00428571428571</c:v>
                </c:pt>
                <c:pt idx="5">
                  <c:v>175.95785714285714</c:v>
                </c:pt>
                <c:pt idx="6">
                  <c:v>288.91857142857134</c:v>
                </c:pt>
                <c:pt idx="7">
                  <c:v>394.3971428571428</c:v>
                </c:pt>
                <c:pt idx="8">
                  <c:v>491.31857142857143</c:v>
                </c:pt>
                <c:pt idx="9">
                  <c:v>578.60785714285703</c:v>
                </c:pt>
              </c:numCache>
            </c:numRef>
          </c:yVal>
          <c:smooth val="0"/>
          <c:extLst>
            <c:ext xmlns:c16="http://schemas.microsoft.com/office/drawing/2014/chart" uri="{C3380CC4-5D6E-409C-BE32-E72D297353CC}">
              <c16:uniqueId val="{00000000-E46E-498F-81EA-2E39640CA50E}"/>
            </c:ext>
          </c:extLst>
        </c:ser>
        <c:dLbls>
          <c:showLegendKey val="0"/>
          <c:showVal val="0"/>
          <c:showCatName val="0"/>
          <c:showSerName val="0"/>
          <c:showPercent val="0"/>
          <c:showBubbleSize val="0"/>
        </c:dLbls>
        <c:axId val="122022144"/>
        <c:axId val="126230528"/>
      </c:scatterChart>
      <c:valAx>
        <c:axId val="122022144"/>
        <c:scaling>
          <c:orientation val="minMax"/>
        </c:scaling>
        <c:delete val="0"/>
        <c:axPos val="b"/>
        <c:numFmt formatCode="General" sourceLinked="1"/>
        <c:majorTickMark val="out"/>
        <c:minorTickMark val="none"/>
        <c:tickLblPos val="nextTo"/>
        <c:crossAx val="126230528"/>
        <c:crosses val="autoZero"/>
        <c:crossBetween val="midCat"/>
      </c:valAx>
      <c:valAx>
        <c:axId val="126230528"/>
        <c:scaling>
          <c:orientation val="minMax"/>
        </c:scaling>
        <c:delete val="0"/>
        <c:axPos val="l"/>
        <c:majorGridlines/>
        <c:numFmt formatCode="0.0" sourceLinked="1"/>
        <c:majorTickMark val="out"/>
        <c:minorTickMark val="none"/>
        <c:tickLblPos val="nextTo"/>
        <c:crossAx val="1220221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czeta_bkwd_3171_3304_aver_v9!$B$232:$B$241</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czeta_bkwd_3171_3304_aver_v9!$C$232:$C$241</c:f>
              <c:numCache>
                <c:formatCode>0.0</c:formatCode>
                <c:ptCount val="10"/>
                <c:pt idx="0">
                  <c:v>47.53728571428573</c:v>
                </c:pt>
                <c:pt idx="1">
                  <c:v>74.78985714285713</c:v>
                </c:pt>
                <c:pt idx="2">
                  <c:v>97.834714285714284</c:v>
                </c:pt>
                <c:pt idx="3">
                  <c:v>118.12385714285713</c:v>
                </c:pt>
                <c:pt idx="4">
                  <c:v>137.03328571428571</c:v>
                </c:pt>
                <c:pt idx="5">
                  <c:v>217.18485714285714</c:v>
                </c:pt>
                <c:pt idx="6">
                  <c:v>350.43557142857139</c:v>
                </c:pt>
                <c:pt idx="7">
                  <c:v>471.67314285714281</c:v>
                </c:pt>
                <c:pt idx="8">
                  <c:v>583.07357142857143</c:v>
                </c:pt>
                <c:pt idx="9">
                  <c:v>683.42385714285706</c:v>
                </c:pt>
              </c:numCache>
            </c:numRef>
          </c:yVal>
          <c:smooth val="1"/>
          <c:extLst>
            <c:ext xmlns:c16="http://schemas.microsoft.com/office/drawing/2014/chart" uri="{C3380CC4-5D6E-409C-BE32-E72D297353CC}">
              <c16:uniqueId val="{00000000-DF86-4586-AAED-D62D75F99BA4}"/>
            </c:ext>
          </c:extLst>
        </c:ser>
        <c:dLbls>
          <c:showLegendKey val="0"/>
          <c:showVal val="0"/>
          <c:showCatName val="0"/>
          <c:showSerName val="0"/>
          <c:showPercent val="0"/>
          <c:showBubbleSize val="0"/>
        </c:dLbls>
        <c:axId val="126246272"/>
        <c:axId val="126256256"/>
      </c:scatterChart>
      <c:valAx>
        <c:axId val="126246272"/>
        <c:scaling>
          <c:orientation val="minMax"/>
        </c:scaling>
        <c:delete val="0"/>
        <c:axPos val="b"/>
        <c:numFmt formatCode="General" sourceLinked="1"/>
        <c:majorTickMark val="out"/>
        <c:minorTickMark val="none"/>
        <c:tickLblPos val="nextTo"/>
        <c:crossAx val="126256256"/>
        <c:crosses val="autoZero"/>
        <c:crossBetween val="midCat"/>
      </c:valAx>
      <c:valAx>
        <c:axId val="126256256"/>
        <c:scaling>
          <c:orientation val="minMax"/>
        </c:scaling>
        <c:delete val="0"/>
        <c:axPos val="l"/>
        <c:majorGridlines/>
        <c:numFmt formatCode="0.0" sourceLinked="1"/>
        <c:majorTickMark val="out"/>
        <c:minorTickMark val="none"/>
        <c:tickLblPos val="nextTo"/>
        <c:crossAx val="12624627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spPr>
          <c:marker>
            <c:symbol val="circle"/>
            <c:size val="2"/>
          </c:marker>
          <c:xVal>
            <c:numRef>
              <c:f>czeta_bkwd_3514s_id13_g!$B$30:$B$39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czeta_bkwd_3514s_id13_g!$J$30:$J$39</c:f>
              <c:numCache>
                <c:formatCode>General</c:formatCode>
                <c:ptCount val="10"/>
                <c:pt idx="0">
                  <c:v>1.58</c:v>
                </c:pt>
                <c:pt idx="1">
                  <c:v>4.8899999999999997</c:v>
                </c:pt>
                <c:pt idx="2">
                  <c:v>10.53</c:v>
                </c:pt>
                <c:pt idx="3">
                  <c:v>17.59</c:v>
                </c:pt>
                <c:pt idx="4">
                  <c:v>25.6</c:v>
                </c:pt>
                <c:pt idx="5">
                  <c:v>39.6</c:v>
                </c:pt>
                <c:pt idx="6">
                  <c:v>53.45</c:v>
                </c:pt>
                <c:pt idx="7">
                  <c:v>65.08</c:v>
                </c:pt>
                <c:pt idx="8">
                  <c:v>75.42</c:v>
                </c:pt>
                <c:pt idx="9">
                  <c:v>84.64</c:v>
                </c:pt>
              </c:numCache>
            </c:numRef>
          </c:yVal>
          <c:smooth val="0"/>
          <c:extLst>
            <c:ext xmlns:c16="http://schemas.microsoft.com/office/drawing/2014/chart" uri="{C3380CC4-5D6E-409C-BE32-E72D297353CC}">
              <c16:uniqueId val="{00000000-D2A3-462A-AA06-360F3D73F81E}"/>
            </c:ext>
          </c:extLst>
        </c:ser>
        <c:dLbls>
          <c:showLegendKey val="0"/>
          <c:showVal val="0"/>
          <c:showCatName val="0"/>
          <c:showSerName val="0"/>
          <c:showPercent val="0"/>
          <c:showBubbleSize val="0"/>
        </c:dLbls>
        <c:axId val="120800384"/>
        <c:axId val="120801920"/>
      </c:scatterChart>
      <c:valAx>
        <c:axId val="120800384"/>
        <c:scaling>
          <c:orientation val="minMax"/>
        </c:scaling>
        <c:delete val="0"/>
        <c:axPos val="b"/>
        <c:numFmt formatCode="General" sourceLinked="1"/>
        <c:majorTickMark val="out"/>
        <c:minorTickMark val="none"/>
        <c:tickLblPos val="nextTo"/>
        <c:crossAx val="120801920"/>
        <c:crosses val="autoZero"/>
        <c:crossBetween val="midCat"/>
      </c:valAx>
      <c:valAx>
        <c:axId val="120801920"/>
        <c:scaling>
          <c:orientation val="minMax"/>
        </c:scaling>
        <c:delete val="0"/>
        <c:axPos val="l"/>
        <c:majorGridlines/>
        <c:numFmt formatCode="General" sourceLinked="1"/>
        <c:majorTickMark val="out"/>
        <c:minorTickMark val="none"/>
        <c:tickLblPos val="nextTo"/>
        <c:crossAx val="120800384"/>
        <c:crosses val="autoZero"/>
        <c:crossBetween val="midCat"/>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czeta_bkwd_3514s_id13_g!$F$28</c:f>
              <c:strCache>
                <c:ptCount val="1"/>
                <c:pt idx="0">
                  <c:v>3514</c:v>
                </c:pt>
              </c:strCache>
            </c:strRef>
          </c:tx>
          <c:spPr>
            <a:ln w="19050"/>
          </c:spPr>
          <c:marker>
            <c:symbol val="circle"/>
            <c:size val="2"/>
          </c:marker>
          <c:xVal>
            <c:numRef>
              <c:f>czeta_bkwd_3514s_id13_g!$B$30:$B$41</c:f>
              <c:numCache>
                <c:formatCode>General</c:formatCode>
                <c:ptCount val="12"/>
                <c:pt idx="0">
                  <c:v>1</c:v>
                </c:pt>
                <c:pt idx="1">
                  <c:v>2</c:v>
                </c:pt>
                <c:pt idx="2">
                  <c:v>3</c:v>
                </c:pt>
                <c:pt idx="3">
                  <c:v>4</c:v>
                </c:pt>
                <c:pt idx="4">
                  <c:v>5</c:v>
                </c:pt>
                <c:pt idx="5">
                  <c:v>10</c:v>
                </c:pt>
                <c:pt idx="6">
                  <c:v>20</c:v>
                </c:pt>
                <c:pt idx="7">
                  <c:v>30</c:v>
                </c:pt>
                <c:pt idx="8">
                  <c:v>40</c:v>
                </c:pt>
                <c:pt idx="9">
                  <c:v>50</c:v>
                </c:pt>
                <c:pt idx="10">
                  <c:v>60</c:v>
                </c:pt>
                <c:pt idx="11">
                  <c:v>70</c:v>
                </c:pt>
              </c:numCache>
            </c:numRef>
          </c:xVal>
          <c:yVal>
            <c:numRef>
              <c:f>czeta_bkwd_3514s_id13_g!$F$30:$F$41</c:f>
              <c:numCache>
                <c:formatCode>0.00</c:formatCode>
                <c:ptCount val="12"/>
                <c:pt idx="0">
                  <c:v>5.57</c:v>
                </c:pt>
                <c:pt idx="1">
                  <c:v>8.57</c:v>
                </c:pt>
                <c:pt idx="2">
                  <c:v>12.75</c:v>
                </c:pt>
                <c:pt idx="3">
                  <c:v>16.670000000000002</c:v>
                </c:pt>
                <c:pt idx="4">
                  <c:v>19.86</c:v>
                </c:pt>
                <c:pt idx="5">
                  <c:v>19.329999999999998</c:v>
                </c:pt>
                <c:pt idx="6">
                  <c:v>16.899999999999999</c:v>
                </c:pt>
                <c:pt idx="7">
                  <c:v>15.5</c:v>
                </c:pt>
                <c:pt idx="8">
                  <c:v>14.3</c:v>
                </c:pt>
                <c:pt idx="9">
                  <c:v>13.5</c:v>
                </c:pt>
                <c:pt idx="10">
                  <c:v>13</c:v>
                </c:pt>
                <c:pt idx="11">
                  <c:v>13</c:v>
                </c:pt>
              </c:numCache>
            </c:numRef>
          </c:yVal>
          <c:smooth val="0"/>
          <c:extLst>
            <c:ext xmlns:c16="http://schemas.microsoft.com/office/drawing/2014/chart" uri="{C3380CC4-5D6E-409C-BE32-E72D297353CC}">
              <c16:uniqueId val="{00000000-FE9B-44A0-B23B-428800DDAACD}"/>
            </c:ext>
          </c:extLst>
        </c:ser>
        <c:ser>
          <c:idx val="1"/>
          <c:order val="1"/>
          <c:tx>
            <c:strRef>
              <c:f>czeta_bkwd_3514s_id13_g!$I$28</c:f>
              <c:strCache>
                <c:ptCount val="1"/>
                <c:pt idx="0">
                  <c:v>2913</c:v>
                </c:pt>
              </c:strCache>
            </c:strRef>
          </c:tx>
          <c:spPr>
            <a:ln w="15875"/>
          </c:spPr>
          <c:marker>
            <c:symbol val="circle"/>
            <c:size val="2"/>
          </c:marker>
          <c:xVal>
            <c:numRef>
              <c:f>czeta_bkwd_3514s_id13_g!$B$30:$B$41</c:f>
              <c:numCache>
                <c:formatCode>General</c:formatCode>
                <c:ptCount val="12"/>
                <c:pt idx="0">
                  <c:v>1</c:v>
                </c:pt>
                <c:pt idx="1">
                  <c:v>2</c:v>
                </c:pt>
                <c:pt idx="2">
                  <c:v>3</c:v>
                </c:pt>
                <c:pt idx="3">
                  <c:v>4</c:v>
                </c:pt>
                <c:pt idx="4">
                  <c:v>5</c:v>
                </c:pt>
                <c:pt idx="5">
                  <c:v>10</c:v>
                </c:pt>
                <c:pt idx="6">
                  <c:v>20</c:v>
                </c:pt>
                <c:pt idx="7">
                  <c:v>30</c:v>
                </c:pt>
                <c:pt idx="8">
                  <c:v>40</c:v>
                </c:pt>
                <c:pt idx="9">
                  <c:v>50</c:v>
                </c:pt>
                <c:pt idx="10">
                  <c:v>60</c:v>
                </c:pt>
                <c:pt idx="11">
                  <c:v>70</c:v>
                </c:pt>
              </c:numCache>
            </c:numRef>
          </c:xVal>
          <c:yVal>
            <c:numRef>
              <c:f>czeta_bkwd_3514s_id13_g!$I$30:$I$41</c:f>
              <c:numCache>
                <c:formatCode>0.00</c:formatCode>
                <c:ptCount val="12"/>
                <c:pt idx="0">
                  <c:v>6.77</c:v>
                </c:pt>
                <c:pt idx="1">
                  <c:v>12.08</c:v>
                </c:pt>
                <c:pt idx="2">
                  <c:v>17.86</c:v>
                </c:pt>
                <c:pt idx="3">
                  <c:v>22.07</c:v>
                </c:pt>
                <c:pt idx="4">
                  <c:v>25.25</c:v>
                </c:pt>
                <c:pt idx="5">
                  <c:v>22.49</c:v>
                </c:pt>
                <c:pt idx="6">
                  <c:v>17.93</c:v>
                </c:pt>
                <c:pt idx="7">
                  <c:v>15.58</c:v>
                </c:pt>
                <c:pt idx="8">
                  <c:v>14.15</c:v>
                </c:pt>
                <c:pt idx="9">
                  <c:v>13.07</c:v>
                </c:pt>
                <c:pt idx="10">
                  <c:v>13</c:v>
                </c:pt>
                <c:pt idx="11">
                  <c:v>13</c:v>
                </c:pt>
              </c:numCache>
            </c:numRef>
          </c:yVal>
          <c:smooth val="0"/>
          <c:extLst>
            <c:ext xmlns:c16="http://schemas.microsoft.com/office/drawing/2014/chart" uri="{C3380CC4-5D6E-409C-BE32-E72D297353CC}">
              <c16:uniqueId val="{00000001-FE9B-44A0-B23B-428800DDAACD}"/>
            </c:ext>
          </c:extLst>
        </c:ser>
        <c:dLbls>
          <c:showLegendKey val="0"/>
          <c:showVal val="0"/>
          <c:showCatName val="0"/>
          <c:showSerName val="0"/>
          <c:showPercent val="0"/>
          <c:showBubbleSize val="0"/>
        </c:dLbls>
        <c:axId val="127838848"/>
        <c:axId val="127844736"/>
      </c:scatterChart>
      <c:valAx>
        <c:axId val="127838848"/>
        <c:scaling>
          <c:orientation val="minMax"/>
        </c:scaling>
        <c:delete val="0"/>
        <c:axPos val="b"/>
        <c:numFmt formatCode="General" sourceLinked="1"/>
        <c:majorTickMark val="out"/>
        <c:minorTickMark val="none"/>
        <c:tickLblPos val="nextTo"/>
        <c:crossAx val="127844736"/>
        <c:crosses val="autoZero"/>
        <c:crossBetween val="midCat"/>
      </c:valAx>
      <c:valAx>
        <c:axId val="127844736"/>
        <c:scaling>
          <c:orientation val="minMax"/>
        </c:scaling>
        <c:delete val="0"/>
        <c:axPos val="l"/>
        <c:majorGridlines/>
        <c:numFmt formatCode="0.00" sourceLinked="1"/>
        <c:majorTickMark val="out"/>
        <c:minorTickMark val="none"/>
        <c:tickLblPos val="nextTo"/>
        <c:crossAx val="127838848"/>
        <c:crosses val="autoZero"/>
        <c:crossBetween val="midCat"/>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czeta_bkwd_3514s_id13_g!$C$139:$C$143</c:f>
              <c:numCache>
                <c:formatCode>General</c:formatCode>
                <c:ptCount val="5"/>
                <c:pt idx="0">
                  <c:v>10</c:v>
                </c:pt>
                <c:pt idx="1">
                  <c:v>20</c:v>
                </c:pt>
                <c:pt idx="2">
                  <c:v>30</c:v>
                </c:pt>
                <c:pt idx="3">
                  <c:v>40</c:v>
                </c:pt>
                <c:pt idx="4">
                  <c:v>50</c:v>
                </c:pt>
              </c:numCache>
            </c:numRef>
          </c:xVal>
          <c:yVal>
            <c:numRef>
              <c:f>czeta_bkwd_3514s_id13_g!$D$139:$D$143</c:f>
              <c:numCache>
                <c:formatCode>General</c:formatCode>
                <c:ptCount val="5"/>
                <c:pt idx="0">
                  <c:v>169.99857142857147</c:v>
                </c:pt>
                <c:pt idx="1">
                  <c:v>276.0057142857143</c:v>
                </c:pt>
                <c:pt idx="2">
                  <c:v>373.39142857142855</c:v>
                </c:pt>
                <c:pt idx="3">
                  <c:v>461.20571428571418</c:v>
                </c:pt>
                <c:pt idx="4">
                  <c:v>538.49857142857138</c:v>
                </c:pt>
              </c:numCache>
            </c:numRef>
          </c:yVal>
          <c:smooth val="0"/>
          <c:extLst>
            <c:ext xmlns:c16="http://schemas.microsoft.com/office/drawing/2014/chart" uri="{C3380CC4-5D6E-409C-BE32-E72D297353CC}">
              <c16:uniqueId val="{00000001-1EA2-480E-9621-DB77788CF72C}"/>
            </c:ext>
          </c:extLst>
        </c:ser>
        <c:dLbls>
          <c:showLegendKey val="0"/>
          <c:showVal val="0"/>
          <c:showCatName val="0"/>
          <c:showSerName val="0"/>
          <c:showPercent val="0"/>
          <c:showBubbleSize val="0"/>
        </c:dLbls>
        <c:axId val="128033152"/>
        <c:axId val="128034688"/>
      </c:scatterChart>
      <c:valAx>
        <c:axId val="128033152"/>
        <c:scaling>
          <c:orientation val="minMax"/>
        </c:scaling>
        <c:delete val="0"/>
        <c:axPos val="b"/>
        <c:numFmt formatCode="General" sourceLinked="1"/>
        <c:majorTickMark val="out"/>
        <c:minorTickMark val="none"/>
        <c:tickLblPos val="nextTo"/>
        <c:crossAx val="128034688"/>
        <c:crosses val="autoZero"/>
        <c:crossBetween val="midCat"/>
      </c:valAx>
      <c:valAx>
        <c:axId val="128034688"/>
        <c:scaling>
          <c:orientation val="minMax"/>
        </c:scaling>
        <c:delete val="0"/>
        <c:axPos val="l"/>
        <c:majorGridlines/>
        <c:numFmt formatCode="General" sourceLinked="1"/>
        <c:majorTickMark val="out"/>
        <c:minorTickMark val="none"/>
        <c:tickLblPos val="nextTo"/>
        <c:crossAx val="128033152"/>
        <c:crosses val="autoZero"/>
        <c:crossBetween val="midCat"/>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czeta_bkwd_3514s_id13_g!$C$108:$C$112</c:f>
              <c:numCache>
                <c:formatCode>General</c:formatCode>
                <c:ptCount val="5"/>
                <c:pt idx="0">
                  <c:v>1</c:v>
                </c:pt>
                <c:pt idx="1">
                  <c:v>2</c:v>
                </c:pt>
                <c:pt idx="2">
                  <c:v>3</c:v>
                </c:pt>
                <c:pt idx="3">
                  <c:v>4</c:v>
                </c:pt>
                <c:pt idx="4">
                  <c:v>5</c:v>
                </c:pt>
              </c:numCache>
            </c:numRef>
          </c:xVal>
          <c:yVal>
            <c:numRef>
              <c:f>czeta_bkwd_3514s_id13_g!$D$108:$D$112</c:f>
              <c:numCache>
                <c:formatCode>0.00</c:formatCode>
                <c:ptCount val="5"/>
                <c:pt idx="0">
                  <c:v>27.5</c:v>
                </c:pt>
                <c:pt idx="1">
                  <c:v>50.722857142857116</c:v>
                </c:pt>
                <c:pt idx="2">
                  <c:v>70.465714285714284</c:v>
                </c:pt>
                <c:pt idx="3">
                  <c:v>88.022857142857163</c:v>
                </c:pt>
                <c:pt idx="4">
                  <c:v>104.64428571428573</c:v>
                </c:pt>
              </c:numCache>
            </c:numRef>
          </c:yVal>
          <c:smooth val="0"/>
          <c:extLst>
            <c:ext xmlns:c16="http://schemas.microsoft.com/office/drawing/2014/chart" uri="{C3380CC4-5D6E-409C-BE32-E72D297353CC}">
              <c16:uniqueId val="{00000000-95C4-4B4A-B429-DA5FD7E1C191}"/>
            </c:ext>
          </c:extLst>
        </c:ser>
        <c:dLbls>
          <c:showLegendKey val="0"/>
          <c:showVal val="0"/>
          <c:showCatName val="0"/>
          <c:showSerName val="0"/>
          <c:showPercent val="0"/>
          <c:showBubbleSize val="0"/>
        </c:dLbls>
        <c:axId val="127878272"/>
        <c:axId val="127879808"/>
      </c:scatterChart>
      <c:valAx>
        <c:axId val="127878272"/>
        <c:scaling>
          <c:orientation val="minMax"/>
        </c:scaling>
        <c:delete val="0"/>
        <c:axPos val="b"/>
        <c:numFmt formatCode="General" sourceLinked="1"/>
        <c:majorTickMark val="out"/>
        <c:minorTickMark val="none"/>
        <c:tickLblPos val="nextTo"/>
        <c:crossAx val="127879808"/>
        <c:crosses val="autoZero"/>
        <c:crossBetween val="midCat"/>
      </c:valAx>
      <c:valAx>
        <c:axId val="127879808"/>
        <c:scaling>
          <c:orientation val="minMax"/>
        </c:scaling>
        <c:delete val="0"/>
        <c:axPos val="l"/>
        <c:majorGridlines/>
        <c:numFmt formatCode="0.00" sourceLinked="1"/>
        <c:majorTickMark val="out"/>
        <c:minorTickMark val="none"/>
        <c:tickLblPos val="nextTo"/>
        <c:crossAx val="127878272"/>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czeta_bkwd_3514s_id13_g!$H$134:$H$143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czeta_bkwd_3514s_id13_g!$I$134:$I$143</c:f>
              <c:numCache>
                <c:formatCode>0.0</c:formatCode>
                <c:ptCount val="10"/>
                <c:pt idx="0">
                  <c:v>27.500632653061206</c:v>
                </c:pt>
                <c:pt idx="1">
                  <c:v>50.720326530612191</c:v>
                </c:pt>
                <c:pt idx="2">
                  <c:v>70.469510204081615</c:v>
                </c:pt>
                <c:pt idx="3">
                  <c:v>88.020326530612266</c:v>
                </c:pt>
                <c:pt idx="4">
                  <c:v>104.64491836734696</c:v>
                </c:pt>
                <c:pt idx="5">
                  <c:v>169.99857142857155</c:v>
                </c:pt>
                <c:pt idx="6">
                  <c:v>276.00571428571436</c:v>
                </c:pt>
                <c:pt idx="7">
                  <c:v>373.39142857142855</c:v>
                </c:pt>
                <c:pt idx="8">
                  <c:v>461.20571428571418</c:v>
                </c:pt>
                <c:pt idx="9">
                  <c:v>538.49857142857127</c:v>
                </c:pt>
              </c:numCache>
            </c:numRef>
          </c:yVal>
          <c:smooth val="0"/>
          <c:extLst>
            <c:ext xmlns:c16="http://schemas.microsoft.com/office/drawing/2014/chart" uri="{C3380CC4-5D6E-409C-BE32-E72D297353CC}">
              <c16:uniqueId val="{00000000-FC2A-47F2-A8EB-01786C47EE01}"/>
            </c:ext>
          </c:extLst>
        </c:ser>
        <c:dLbls>
          <c:showLegendKey val="0"/>
          <c:showVal val="0"/>
          <c:showCatName val="0"/>
          <c:showSerName val="0"/>
          <c:showPercent val="0"/>
          <c:showBubbleSize val="0"/>
        </c:dLbls>
        <c:axId val="127911808"/>
        <c:axId val="127913344"/>
      </c:scatterChart>
      <c:valAx>
        <c:axId val="127911808"/>
        <c:scaling>
          <c:orientation val="minMax"/>
        </c:scaling>
        <c:delete val="0"/>
        <c:axPos val="b"/>
        <c:numFmt formatCode="General" sourceLinked="1"/>
        <c:majorTickMark val="out"/>
        <c:minorTickMark val="none"/>
        <c:tickLblPos val="nextTo"/>
        <c:crossAx val="127913344"/>
        <c:crosses val="autoZero"/>
        <c:crossBetween val="midCat"/>
      </c:valAx>
      <c:valAx>
        <c:axId val="127913344"/>
        <c:scaling>
          <c:orientation val="minMax"/>
        </c:scaling>
        <c:delete val="0"/>
        <c:axPos val="l"/>
        <c:majorGridlines/>
        <c:numFmt formatCode="0.0" sourceLinked="1"/>
        <c:majorTickMark val="out"/>
        <c:minorTickMark val="none"/>
        <c:tickLblPos val="nextTo"/>
        <c:crossAx val="1279118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xVal>
            <c:numRef>
              <c:f>czeta_bkwd_3514s_id13_g!$B$288:$B$297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czeta_bkwd_3514s_id13_g!$N$288:$N$297</c:f>
              <c:numCache>
                <c:formatCode>0.0000</c:formatCode>
                <c:ptCount val="10"/>
                <c:pt idx="0">
                  <c:v>4.4744280114661437E-2</c:v>
                </c:pt>
                <c:pt idx="1">
                  <c:v>6.5568948305626026E-2</c:v>
                </c:pt>
                <c:pt idx="2">
                  <c:v>9.4684498147822593E-2</c:v>
                </c:pt>
                <c:pt idx="3">
                  <c:v>0.12142620040178936</c:v>
                </c:pt>
                <c:pt idx="4">
                  <c:v>0.14306529117482988</c:v>
                </c:pt>
                <c:pt idx="5">
                  <c:v>0.11236052542423923</c:v>
                </c:pt>
                <c:pt idx="6">
                  <c:v>7.7416072938167754E-2</c:v>
                </c:pt>
                <c:pt idx="7">
                  <c:v>6.2975392813374706E-2</c:v>
                </c:pt>
                <c:pt idx="8">
                  <c:v>5.3069733924048727E-2</c:v>
                </c:pt>
                <c:pt idx="9">
                  <c:v>4.6364519018166142E-2</c:v>
                </c:pt>
              </c:numCache>
            </c:numRef>
          </c:yVal>
          <c:smooth val="1"/>
          <c:extLst>
            <c:ext xmlns:c16="http://schemas.microsoft.com/office/drawing/2014/chart" uri="{C3380CC4-5D6E-409C-BE32-E72D297353CC}">
              <c16:uniqueId val="{00000000-8B1D-450E-999A-AE5B864F1400}"/>
            </c:ext>
          </c:extLst>
        </c:ser>
        <c:dLbls>
          <c:showLegendKey val="0"/>
          <c:showVal val="0"/>
          <c:showCatName val="0"/>
          <c:showSerName val="0"/>
          <c:showPercent val="0"/>
          <c:showBubbleSize val="0"/>
        </c:dLbls>
        <c:axId val="127937536"/>
        <c:axId val="127959808"/>
      </c:scatterChart>
      <c:valAx>
        <c:axId val="127937536"/>
        <c:scaling>
          <c:orientation val="minMax"/>
        </c:scaling>
        <c:delete val="0"/>
        <c:axPos val="b"/>
        <c:numFmt formatCode="General" sourceLinked="1"/>
        <c:majorTickMark val="out"/>
        <c:minorTickMark val="none"/>
        <c:tickLblPos val="nextTo"/>
        <c:crossAx val="127959808"/>
        <c:crosses val="autoZero"/>
        <c:crossBetween val="midCat"/>
      </c:valAx>
      <c:valAx>
        <c:axId val="127959808"/>
        <c:scaling>
          <c:orientation val="minMax"/>
        </c:scaling>
        <c:delete val="0"/>
        <c:axPos val="l"/>
        <c:majorGridlines/>
        <c:numFmt formatCode="0.0000" sourceLinked="1"/>
        <c:majorTickMark val="out"/>
        <c:minorTickMark val="none"/>
        <c:tickLblPos val="nextTo"/>
        <c:crossAx val="1279375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czeta_bkwd_3075s_actual_v1!$C$52:$C$57</c:f>
              <c:numCache>
                <c:formatCode>General</c:formatCode>
                <c:ptCount val="6"/>
                <c:pt idx="0">
                  <c:v>1</c:v>
                </c:pt>
                <c:pt idx="1">
                  <c:v>2</c:v>
                </c:pt>
                <c:pt idx="2">
                  <c:v>3</c:v>
                </c:pt>
                <c:pt idx="3">
                  <c:v>4</c:v>
                </c:pt>
                <c:pt idx="4">
                  <c:v>5</c:v>
                </c:pt>
                <c:pt idx="5">
                  <c:v>10</c:v>
                </c:pt>
              </c:numCache>
            </c:numRef>
          </c:xVal>
          <c:yVal>
            <c:numRef>
              <c:f>czeta_bkwd_3075s_actual_v1!$D$52:$D$57</c:f>
              <c:numCache>
                <c:formatCode>General</c:formatCode>
                <c:ptCount val="6"/>
                <c:pt idx="0">
                  <c:v>22.3</c:v>
                </c:pt>
                <c:pt idx="1">
                  <c:v>44.8</c:v>
                </c:pt>
                <c:pt idx="2">
                  <c:v>62</c:v>
                </c:pt>
                <c:pt idx="3">
                  <c:v>75.5</c:v>
                </c:pt>
                <c:pt idx="4">
                  <c:v>91.1</c:v>
                </c:pt>
                <c:pt idx="5">
                  <c:v>150.69999999999999</c:v>
                </c:pt>
              </c:numCache>
            </c:numRef>
          </c:yVal>
          <c:smooth val="0"/>
          <c:extLst>
            <c:ext xmlns:c16="http://schemas.microsoft.com/office/drawing/2014/chart" uri="{C3380CC4-5D6E-409C-BE32-E72D297353CC}">
              <c16:uniqueId val="{00000000-4F7D-416B-A8B6-EEFCB25EF53B}"/>
            </c:ext>
          </c:extLst>
        </c:ser>
        <c:dLbls>
          <c:showLegendKey val="0"/>
          <c:showVal val="0"/>
          <c:showCatName val="0"/>
          <c:showSerName val="0"/>
          <c:showPercent val="0"/>
          <c:showBubbleSize val="0"/>
        </c:dLbls>
        <c:axId val="92060288"/>
        <c:axId val="92062080"/>
      </c:scatterChart>
      <c:valAx>
        <c:axId val="92060288"/>
        <c:scaling>
          <c:orientation val="minMax"/>
        </c:scaling>
        <c:delete val="0"/>
        <c:axPos val="b"/>
        <c:numFmt formatCode="General" sourceLinked="1"/>
        <c:majorTickMark val="out"/>
        <c:minorTickMark val="none"/>
        <c:tickLblPos val="nextTo"/>
        <c:crossAx val="92062080"/>
        <c:crosses val="autoZero"/>
        <c:crossBetween val="midCat"/>
      </c:valAx>
      <c:valAx>
        <c:axId val="92062080"/>
        <c:scaling>
          <c:orientation val="minMax"/>
        </c:scaling>
        <c:delete val="0"/>
        <c:axPos val="l"/>
        <c:majorGridlines/>
        <c:numFmt formatCode="General" sourceLinked="1"/>
        <c:majorTickMark val="out"/>
        <c:minorTickMark val="none"/>
        <c:tickLblPos val="nextTo"/>
        <c:crossAx val="92060288"/>
        <c:crosses val="autoZero"/>
        <c:crossBetween val="midCat"/>
      </c:valAx>
    </c:plotArea>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czeta_bkwd_3514s_id13_g!$C$109:$C$117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czeta_bkwd_3514s_id13_g!$E$109:$E$117</c:f>
              <c:numCache>
                <c:formatCode>0.00</c:formatCode>
                <c:ptCount val="9"/>
                <c:pt idx="0">
                  <c:v>1.8444675324675315</c:v>
                </c:pt>
                <c:pt idx="1">
                  <c:v>1.3892299892975841</c:v>
                </c:pt>
                <c:pt idx="2">
                  <c:v>1.2491586587195398</c:v>
                </c:pt>
                <c:pt idx="3">
                  <c:v>1.1888308231628149</c:v>
                </c:pt>
                <c:pt idx="4">
                  <c:v>0.32490750979508815</c:v>
                </c:pt>
                <c:pt idx="5">
                  <c:v>0.16235766687115016</c:v>
                </c:pt>
                <c:pt idx="6">
                  <c:v>0.13528394857249332</c:v>
                </c:pt>
                <c:pt idx="7">
                  <c:v>0.12351802398096212</c:v>
                </c:pt>
                <c:pt idx="8">
                  <c:v>0.11675886806011573</c:v>
                </c:pt>
              </c:numCache>
            </c:numRef>
          </c:yVal>
          <c:smooth val="0"/>
          <c:extLst>
            <c:ext xmlns:c16="http://schemas.microsoft.com/office/drawing/2014/chart" uri="{C3380CC4-5D6E-409C-BE32-E72D297353CC}">
              <c16:uniqueId val="{00000000-8556-458F-AAF5-D859133C5202}"/>
            </c:ext>
          </c:extLst>
        </c:ser>
        <c:dLbls>
          <c:showLegendKey val="0"/>
          <c:showVal val="0"/>
          <c:showCatName val="0"/>
          <c:showSerName val="0"/>
          <c:showPercent val="0"/>
          <c:showBubbleSize val="0"/>
        </c:dLbls>
        <c:axId val="127984000"/>
        <c:axId val="127985536"/>
      </c:scatterChart>
      <c:valAx>
        <c:axId val="127984000"/>
        <c:scaling>
          <c:orientation val="minMax"/>
        </c:scaling>
        <c:delete val="0"/>
        <c:axPos val="b"/>
        <c:numFmt formatCode="General" sourceLinked="1"/>
        <c:majorTickMark val="out"/>
        <c:minorTickMark val="none"/>
        <c:tickLblPos val="nextTo"/>
        <c:crossAx val="127985536"/>
        <c:crosses val="autoZero"/>
        <c:crossBetween val="midCat"/>
      </c:valAx>
      <c:valAx>
        <c:axId val="127985536"/>
        <c:scaling>
          <c:orientation val="minMax"/>
          <c:max val="2.5"/>
          <c:min val="0"/>
        </c:scaling>
        <c:delete val="0"/>
        <c:axPos val="l"/>
        <c:majorGridlines/>
        <c:numFmt formatCode="0.00" sourceLinked="1"/>
        <c:majorTickMark val="out"/>
        <c:minorTickMark val="none"/>
        <c:tickLblPos val="nextTo"/>
        <c:crossAx val="127984000"/>
        <c:crosses val="autoZero"/>
        <c:crossBetween val="midCat"/>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czeta_bkwd_3171s_id8_b!$B$30:$B$39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czeta_bkwd_3171s_id8_b!$C$30:$C$39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FCDD-4DDB-A330-3DA373B4CD15}"/>
            </c:ext>
          </c:extLst>
        </c:ser>
        <c:dLbls>
          <c:showLegendKey val="0"/>
          <c:showVal val="0"/>
          <c:showCatName val="0"/>
          <c:showSerName val="0"/>
          <c:showPercent val="0"/>
          <c:showBubbleSize val="0"/>
        </c:dLbls>
        <c:axId val="123568128"/>
        <c:axId val="123569664"/>
      </c:scatterChart>
      <c:valAx>
        <c:axId val="123568128"/>
        <c:scaling>
          <c:orientation val="minMax"/>
        </c:scaling>
        <c:delete val="0"/>
        <c:axPos val="b"/>
        <c:numFmt formatCode="General" sourceLinked="1"/>
        <c:majorTickMark val="out"/>
        <c:minorTickMark val="none"/>
        <c:tickLblPos val="nextTo"/>
        <c:crossAx val="123569664"/>
        <c:crosses val="autoZero"/>
        <c:crossBetween val="midCat"/>
      </c:valAx>
      <c:valAx>
        <c:axId val="123569664"/>
        <c:scaling>
          <c:orientation val="minMax"/>
        </c:scaling>
        <c:delete val="0"/>
        <c:axPos val="l"/>
        <c:majorGridlines/>
        <c:numFmt formatCode="0.00" sourceLinked="1"/>
        <c:majorTickMark val="out"/>
        <c:minorTickMark val="none"/>
        <c:tickLblPos val="nextTo"/>
        <c:crossAx val="123568128"/>
        <c:crosses val="autoZero"/>
        <c:crossBetween val="midCat"/>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czeta_bkwd_3171s_id8_b!$B$30:$B$39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czeta_bkwd_3171s_id8_b!$D$30:$D$39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EA7D-43BA-ADD4-DE52F414F63A}"/>
            </c:ext>
          </c:extLst>
        </c:ser>
        <c:dLbls>
          <c:showLegendKey val="0"/>
          <c:showVal val="0"/>
          <c:showCatName val="0"/>
          <c:showSerName val="0"/>
          <c:showPercent val="0"/>
          <c:showBubbleSize val="0"/>
        </c:dLbls>
        <c:axId val="123597568"/>
        <c:axId val="123599104"/>
      </c:scatterChart>
      <c:valAx>
        <c:axId val="123597568"/>
        <c:scaling>
          <c:orientation val="minMax"/>
        </c:scaling>
        <c:delete val="0"/>
        <c:axPos val="b"/>
        <c:numFmt formatCode="General" sourceLinked="1"/>
        <c:majorTickMark val="out"/>
        <c:minorTickMark val="none"/>
        <c:tickLblPos val="nextTo"/>
        <c:crossAx val="123599104"/>
        <c:crosses val="autoZero"/>
        <c:crossBetween val="midCat"/>
      </c:valAx>
      <c:valAx>
        <c:axId val="123599104"/>
        <c:scaling>
          <c:orientation val="minMax"/>
        </c:scaling>
        <c:delete val="0"/>
        <c:axPos val="l"/>
        <c:majorGridlines/>
        <c:numFmt formatCode="0.00" sourceLinked="1"/>
        <c:majorTickMark val="out"/>
        <c:minorTickMark val="none"/>
        <c:tickLblPos val="nextTo"/>
        <c:crossAx val="123597568"/>
        <c:crosses val="autoZero"/>
        <c:crossBetween val="midCat"/>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czeta_bkwd_3171s_id8_b!$C$139:$C$143</c:f>
              <c:numCache>
                <c:formatCode>General</c:formatCode>
                <c:ptCount val="5"/>
                <c:pt idx="0">
                  <c:v>10</c:v>
                </c:pt>
                <c:pt idx="1">
                  <c:v>20</c:v>
                </c:pt>
                <c:pt idx="2">
                  <c:v>30</c:v>
                </c:pt>
                <c:pt idx="3">
                  <c:v>40</c:v>
                </c:pt>
                <c:pt idx="4">
                  <c:v>50</c:v>
                </c:pt>
              </c:numCache>
            </c:numRef>
          </c:xVal>
          <c:yVal>
            <c:numRef>
              <c:f>czeta_bkwd_3171s_id8_b!$D$139:$D$143</c:f>
              <c:numCache>
                <c:formatCode>General</c:formatCode>
                <c:ptCount val="5"/>
                <c:pt idx="0">
                  <c:v>169.99857142857147</c:v>
                </c:pt>
                <c:pt idx="1">
                  <c:v>276.0057142857143</c:v>
                </c:pt>
                <c:pt idx="2">
                  <c:v>373.39142857142855</c:v>
                </c:pt>
                <c:pt idx="3">
                  <c:v>461.20571428571418</c:v>
                </c:pt>
                <c:pt idx="4">
                  <c:v>538.49857142857138</c:v>
                </c:pt>
              </c:numCache>
            </c:numRef>
          </c:yVal>
          <c:smooth val="0"/>
          <c:extLst>
            <c:ext xmlns:c16="http://schemas.microsoft.com/office/drawing/2014/chart" uri="{C3380CC4-5D6E-409C-BE32-E72D297353CC}">
              <c16:uniqueId val="{00000001-EB61-4204-8AB9-707D644D245D}"/>
            </c:ext>
          </c:extLst>
        </c:ser>
        <c:dLbls>
          <c:showLegendKey val="0"/>
          <c:showVal val="0"/>
          <c:showCatName val="0"/>
          <c:showSerName val="0"/>
          <c:showPercent val="0"/>
          <c:showBubbleSize val="0"/>
        </c:dLbls>
        <c:axId val="123484416"/>
        <c:axId val="123494400"/>
      </c:scatterChart>
      <c:valAx>
        <c:axId val="123484416"/>
        <c:scaling>
          <c:orientation val="minMax"/>
        </c:scaling>
        <c:delete val="0"/>
        <c:axPos val="b"/>
        <c:numFmt formatCode="General" sourceLinked="1"/>
        <c:majorTickMark val="out"/>
        <c:minorTickMark val="none"/>
        <c:tickLblPos val="nextTo"/>
        <c:crossAx val="123494400"/>
        <c:crosses val="autoZero"/>
        <c:crossBetween val="midCat"/>
      </c:valAx>
      <c:valAx>
        <c:axId val="123494400"/>
        <c:scaling>
          <c:orientation val="minMax"/>
        </c:scaling>
        <c:delete val="0"/>
        <c:axPos val="l"/>
        <c:majorGridlines/>
        <c:numFmt formatCode="General" sourceLinked="1"/>
        <c:majorTickMark val="out"/>
        <c:minorTickMark val="none"/>
        <c:tickLblPos val="nextTo"/>
        <c:crossAx val="123484416"/>
        <c:crosses val="autoZero"/>
        <c:crossBetween val="midCat"/>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czeta_bkwd_3171s_id8_b!$C$108:$C$112</c:f>
              <c:numCache>
                <c:formatCode>General</c:formatCode>
                <c:ptCount val="5"/>
                <c:pt idx="0">
                  <c:v>1</c:v>
                </c:pt>
                <c:pt idx="1">
                  <c:v>2</c:v>
                </c:pt>
                <c:pt idx="2">
                  <c:v>3</c:v>
                </c:pt>
                <c:pt idx="3">
                  <c:v>4</c:v>
                </c:pt>
                <c:pt idx="4">
                  <c:v>5</c:v>
                </c:pt>
              </c:numCache>
            </c:numRef>
          </c:xVal>
          <c:yVal>
            <c:numRef>
              <c:f>czeta_bkwd_3171s_id8_b!$D$108:$D$112</c:f>
              <c:numCache>
                <c:formatCode>0.00</c:formatCode>
                <c:ptCount val="5"/>
                <c:pt idx="0">
                  <c:v>27.5</c:v>
                </c:pt>
                <c:pt idx="1">
                  <c:v>50.722857142857116</c:v>
                </c:pt>
                <c:pt idx="2">
                  <c:v>70.465714285714284</c:v>
                </c:pt>
                <c:pt idx="3">
                  <c:v>88.022857142857163</c:v>
                </c:pt>
                <c:pt idx="4">
                  <c:v>104.64428571428573</c:v>
                </c:pt>
              </c:numCache>
            </c:numRef>
          </c:yVal>
          <c:smooth val="0"/>
          <c:extLst>
            <c:ext xmlns:c16="http://schemas.microsoft.com/office/drawing/2014/chart" uri="{C3380CC4-5D6E-409C-BE32-E72D297353CC}">
              <c16:uniqueId val="{00000000-C224-47A6-88B1-2444AEC4626D}"/>
            </c:ext>
          </c:extLst>
        </c:ser>
        <c:dLbls>
          <c:showLegendKey val="0"/>
          <c:showVal val="0"/>
          <c:showCatName val="0"/>
          <c:showSerName val="0"/>
          <c:showPercent val="0"/>
          <c:showBubbleSize val="0"/>
        </c:dLbls>
        <c:axId val="123501568"/>
        <c:axId val="123519744"/>
      </c:scatterChart>
      <c:valAx>
        <c:axId val="123501568"/>
        <c:scaling>
          <c:orientation val="minMax"/>
        </c:scaling>
        <c:delete val="0"/>
        <c:axPos val="b"/>
        <c:numFmt formatCode="General" sourceLinked="1"/>
        <c:majorTickMark val="out"/>
        <c:minorTickMark val="none"/>
        <c:tickLblPos val="nextTo"/>
        <c:crossAx val="123519744"/>
        <c:crosses val="autoZero"/>
        <c:crossBetween val="midCat"/>
      </c:valAx>
      <c:valAx>
        <c:axId val="123519744"/>
        <c:scaling>
          <c:orientation val="minMax"/>
        </c:scaling>
        <c:delete val="0"/>
        <c:axPos val="l"/>
        <c:majorGridlines/>
        <c:numFmt formatCode="0.00" sourceLinked="1"/>
        <c:majorTickMark val="out"/>
        <c:minorTickMark val="none"/>
        <c:tickLblPos val="nextTo"/>
        <c:crossAx val="123501568"/>
        <c:crosses val="autoZero"/>
        <c:crossBetween val="midCat"/>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czeta_bkwd_3171s_id8_b!$H$134:$H$143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czeta_bkwd_3171s_id8_b!$I$134:$I$143</c:f>
              <c:numCache>
                <c:formatCode>0.0</c:formatCode>
                <c:ptCount val="10"/>
                <c:pt idx="0">
                  <c:v>27.500632653061206</c:v>
                </c:pt>
                <c:pt idx="1">
                  <c:v>50.720326530612191</c:v>
                </c:pt>
                <c:pt idx="2">
                  <c:v>70.469510204081615</c:v>
                </c:pt>
                <c:pt idx="3">
                  <c:v>88.020326530612266</c:v>
                </c:pt>
                <c:pt idx="4">
                  <c:v>104.64491836734696</c:v>
                </c:pt>
                <c:pt idx="5">
                  <c:v>169.99857142857155</c:v>
                </c:pt>
                <c:pt idx="6">
                  <c:v>276.00571428571436</c:v>
                </c:pt>
                <c:pt idx="7">
                  <c:v>373.39142857142855</c:v>
                </c:pt>
                <c:pt idx="8">
                  <c:v>461.20571428571418</c:v>
                </c:pt>
                <c:pt idx="9">
                  <c:v>538.49857142857127</c:v>
                </c:pt>
              </c:numCache>
            </c:numRef>
          </c:yVal>
          <c:smooth val="0"/>
          <c:extLst>
            <c:ext xmlns:c16="http://schemas.microsoft.com/office/drawing/2014/chart" uri="{C3380CC4-5D6E-409C-BE32-E72D297353CC}">
              <c16:uniqueId val="{00000000-5E08-4097-8515-3D5BBBB18148}"/>
            </c:ext>
          </c:extLst>
        </c:ser>
        <c:dLbls>
          <c:showLegendKey val="0"/>
          <c:showVal val="0"/>
          <c:showCatName val="0"/>
          <c:showSerName val="0"/>
          <c:showPercent val="0"/>
          <c:showBubbleSize val="0"/>
        </c:dLbls>
        <c:axId val="123809792"/>
        <c:axId val="123811328"/>
      </c:scatterChart>
      <c:valAx>
        <c:axId val="123809792"/>
        <c:scaling>
          <c:orientation val="minMax"/>
        </c:scaling>
        <c:delete val="0"/>
        <c:axPos val="b"/>
        <c:numFmt formatCode="General" sourceLinked="1"/>
        <c:majorTickMark val="out"/>
        <c:minorTickMark val="none"/>
        <c:tickLblPos val="nextTo"/>
        <c:crossAx val="123811328"/>
        <c:crosses val="autoZero"/>
        <c:crossBetween val="midCat"/>
      </c:valAx>
      <c:valAx>
        <c:axId val="123811328"/>
        <c:scaling>
          <c:orientation val="minMax"/>
        </c:scaling>
        <c:delete val="0"/>
        <c:axPos val="l"/>
        <c:majorGridlines/>
        <c:numFmt formatCode="0.0" sourceLinked="1"/>
        <c:majorTickMark val="out"/>
        <c:minorTickMark val="none"/>
        <c:tickLblPos val="nextTo"/>
        <c:crossAx val="1238097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xVal>
            <c:numRef>
              <c:f>czeta_bkwd_3171s_id8_b!$B$288:$B$297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czeta_bkwd_3171s_id8_b!$N$288:$N$297</c:f>
              <c:numCache>
                <c:formatCode>0.0000</c:formatCode>
                <c:ptCount val="10"/>
                <c:pt idx="0">
                  <c:v>3.8526808480455976E-2</c:v>
                </c:pt>
                <c:pt idx="1">
                  <c:v>4.2018964243057622E-2</c:v>
                </c:pt>
                <c:pt idx="2">
                  <c:v>4.5289527183440481E-2</c:v>
                </c:pt>
                <c:pt idx="3">
                  <c:v>4.8981208433268177E-2</c:v>
                </c:pt>
                <c:pt idx="4">
                  <c:v>5.2025397295517146E-2</c:v>
                </c:pt>
                <c:pt idx="5">
                  <c:v>5.7959855358440664E-2</c:v>
                </c:pt>
                <c:pt idx="6">
                  <c:v>5.6880900598139231E-2</c:v>
                </c:pt>
                <c:pt idx="7">
                  <c:v>5.130287596896306E-2</c:v>
                </c:pt>
                <c:pt idx="8">
                  <c:v>4.7522971352778942E-2</c:v>
                </c:pt>
                <c:pt idx="9">
                  <c:v>4.4392361289864658E-2</c:v>
                </c:pt>
              </c:numCache>
            </c:numRef>
          </c:yVal>
          <c:smooth val="1"/>
          <c:extLst>
            <c:ext xmlns:c16="http://schemas.microsoft.com/office/drawing/2014/chart" uri="{C3380CC4-5D6E-409C-BE32-E72D297353CC}">
              <c16:uniqueId val="{00000000-7E79-473A-BA6F-F99DD103A884}"/>
            </c:ext>
          </c:extLst>
        </c:ser>
        <c:dLbls>
          <c:showLegendKey val="0"/>
          <c:showVal val="0"/>
          <c:showCatName val="0"/>
          <c:showSerName val="0"/>
          <c:showPercent val="0"/>
          <c:showBubbleSize val="0"/>
        </c:dLbls>
        <c:axId val="123864192"/>
        <c:axId val="123865728"/>
      </c:scatterChart>
      <c:valAx>
        <c:axId val="123864192"/>
        <c:scaling>
          <c:orientation val="minMax"/>
        </c:scaling>
        <c:delete val="0"/>
        <c:axPos val="b"/>
        <c:numFmt formatCode="General" sourceLinked="1"/>
        <c:majorTickMark val="out"/>
        <c:minorTickMark val="none"/>
        <c:tickLblPos val="nextTo"/>
        <c:crossAx val="123865728"/>
        <c:crosses val="autoZero"/>
        <c:crossBetween val="midCat"/>
      </c:valAx>
      <c:valAx>
        <c:axId val="123865728"/>
        <c:scaling>
          <c:orientation val="minMax"/>
        </c:scaling>
        <c:delete val="0"/>
        <c:axPos val="l"/>
        <c:majorGridlines/>
        <c:numFmt formatCode="0.0000" sourceLinked="1"/>
        <c:majorTickMark val="out"/>
        <c:minorTickMark val="none"/>
        <c:tickLblPos val="nextTo"/>
        <c:crossAx val="12386419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czeta_bkwd_3171s_id8_b!$C$109:$C$117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czeta_bkwd_3171s_id8_b!$E$109:$E$117</c:f>
              <c:numCache>
                <c:formatCode>0.00</c:formatCode>
                <c:ptCount val="9"/>
                <c:pt idx="0">
                  <c:v>1.8444675324675315</c:v>
                </c:pt>
                <c:pt idx="1">
                  <c:v>1.3892299892975841</c:v>
                </c:pt>
                <c:pt idx="2">
                  <c:v>1.2491586587195398</c:v>
                </c:pt>
                <c:pt idx="3">
                  <c:v>1.1888308231628149</c:v>
                </c:pt>
                <c:pt idx="4">
                  <c:v>0.32490750979508815</c:v>
                </c:pt>
                <c:pt idx="5">
                  <c:v>0.16235766687115016</c:v>
                </c:pt>
                <c:pt idx="6">
                  <c:v>0.13528394857249332</c:v>
                </c:pt>
                <c:pt idx="7">
                  <c:v>0.12351802398096212</c:v>
                </c:pt>
                <c:pt idx="8">
                  <c:v>0.11675886806011573</c:v>
                </c:pt>
              </c:numCache>
            </c:numRef>
          </c:yVal>
          <c:smooth val="0"/>
          <c:extLst>
            <c:ext xmlns:c16="http://schemas.microsoft.com/office/drawing/2014/chart" uri="{C3380CC4-5D6E-409C-BE32-E72D297353CC}">
              <c16:uniqueId val="{00000000-9164-4774-B22B-0A95C489DCA6}"/>
            </c:ext>
          </c:extLst>
        </c:ser>
        <c:dLbls>
          <c:showLegendKey val="0"/>
          <c:showVal val="0"/>
          <c:showCatName val="0"/>
          <c:showSerName val="0"/>
          <c:showPercent val="0"/>
          <c:showBubbleSize val="0"/>
        </c:dLbls>
        <c:axId val="123886208"/>
        <c:axId val="123896192"/>
      </c:scatterChart>
      <c:valAx>
        <c:axId val="123886208"/>
        <c:scaling>
          <c:orientation val="minMax"/>
        </c:scaling>
        <c:delete val="0"/>
        <c:axPos val="b"/>
        <c:numFmt formatCode="General" sourceLinked="1"/>
        <c:majorTickMark val="out"/>
        <c:minorTickMark val="none"/>
        <c:tickLblPos val="nextTo"/>
        <c:crossAx val="123896192"/>
        <c:crosses val="autoZero"/>
        <c:crossBetween val="midCat"/>
      </c:valAx>
      <c:valAx>
        <c:axId val="123896192"/>
        <c:scaling>
          <c:orientation val="minMax"/>
          <c:max val="2.5"/>
          <c:min val="0"/>
        </c:scaling>
        <c:delete val="0"/>
        <c:axPos val="l"/>
        <c:majorGridlines/>
        <c:numFmt formatCode="0.00" sourceLinked="1"/>
        <c:majorTickMark val="out"/>
        <c:minorTickMark val="none"/>
        <c:tickLblPos val="nextTo"/>
        <c:crossAx val="123886208"/>
        <c:crosses val="autoZero"/>
        <c:crossBetween val="midCat"/>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czeta_bkwd_3304s_id9_b!$B$30:$B$39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czeta_bkwd_3304s_id9_b!$C$30:$C$39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B4F2-4624-A014-53ECBBF39926}"/>
            </c:ext>
          </c:extLst>
        </c:ser>
        <c:dLbls>
          <c:showLegendKey val="0"/>
          <c:showVal val="0"/>
          <c:showCatName val="0"/>
          <c:showSerName val="0"/>
          <c:showPercent val="0"/>
          <c:showBubbleSize val="0"/>
        </c:dLbls>
        <c:axId val="126339328"/>
        <c:axId val="126341120"/>
      </c:scatterChart>
      <c:valAx>
        <c:axId val="126339328"/>
        <c:scaling>
          <c:orientation val="minMax"/>
        </c:scaling>
        <c:delete val="0"/>
        <c:axPos val="b"/>
        <c:numFmt formatCode="General" sourceLinked="1"/>
        <c:majorTickMark val="out"/>
        <c:minorTickMark val="none"/>
        <c:tickLblPos val="nextTo"/>
        <c:crossAx val="126341120"/>
        <c:crosses val="autoZero"/>
        <c:crossBetween val="midCat"/>
      </c:valAx>
      <c:valAx>
        <c:axId val="126341120"/>
        <c:scaling>
          <c:orientation val="minMax"/>
        </c:scaling>
        <c:delete val="0"/>
        <c:axPos val="l"/>
        <c:majorGridlines/>
        <c:numFmt formatCode="0.00" sourceLinked="1"/>
        <c:majorTickMark val="out"/>
        <c:minorTickMark val="none"/>
        <c:tickLblPos val="nextTo"/>
        <c:crossAx val="126339328"/>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czeta_bkwd_3304s_id9_b!$B$30:$B$39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czeta_bkwd_3304s_id9_b!$D$30:$D$39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FA04-4F7C-95F2-9ECC68D7768D}"/>
            </c:ext>
          </c:extLst>
        </c:ser>
        <c:dLbls>
          <c:showLegendKey val="0"/>
          <c:showVal val="0"/>
          <c:showCatName val="0"/>
          <c:showSerName val="0"/>
          <c:showPercent val="0"/>
          <c:showBubbleSize val="0"/>
        </c:dLbls>
        <c:axId val="126352384"/>
        <c:axId val="126362368"/>
      </c:scatterChart>
      <c:valAx>
        <c:axId val="126352384"/>
        <c:scaling>
          <c:orientation val="minMax"/>
        </c:scaling>
        <c:delete val="0"/>
        <c:axPos val="b"/>
        <c:numFmt formatCode="General" sourceLinked="1"/>
        <c:majorTickMark val="out"/>
        <c:minorTickMark val="none"/>
        <c:tickLblPos val="nextTo"/>
        <c:crossAx val="126362368"/>
        <c:crosses val="autoZero"/>
        <c:crossBetween val="midCat"/>
      </c:valAx>
      <c:valAx>
        <c:axId val="126362368"/>
        <c:scaling>
          <c:orientation val="minMax"/>
        </c:scaling>
        <c:delete val="0"/>
        <c:axPos val="l"/>
        <c:majorGridlines/>
        <c:numFmt formatCode="0.00" sourceLinked="1"/>
        <c:majorTickMark val="out"/>
        <c:minorTickMark val="none"/>
        <c:tickLblPos val="nextTo"/>
        <c:crossAx val="126352384"/>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czeta_bkwd_3075s_actual_v1!$H$78:$H$87</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czeta_bkwd_3075s_actual_v1!$I$78:$I$87</c:f>
              <c:numCache>
                <c:formatCode>0.0</c:formatCode>
                <c:ptCount val="10"/>
                <c:pt idx="0">
                  <c:v>22.718656416004258</c:v>
                </c:pt>
                <c:pt idx="1">
                  <c:v>43.919892099675558</c:v>
                </c:pt>
                <c:pt idx="2">
                  <c:v>61.787877591936258</c:v>
                </c:pt>
                <c:pt idx="3">
                  <c:v>77.003445390753853</c:v>
                </c:pt>
                <c:pt idx="4">
                  <c:v>90.247427994095858</c:v>
                </c:pt>
                <c:pt idx="5">
                  <c:v>150.71920739662417</c:v>
                </c:pt>
                <c:pt idx="6">
                  <c:v>252.13714285714292</c:v>
                </c:pt>
                <c:pt idx="7">
                  <c:v>340.1942857142858</c:v>
                </c:pt>
                <c:pt idx="8">
                  <c:v>420.33714285714279</c:v>
                </c:pt>
                <c:pt idx="9">
                  <c:v>498.01571428571424</c:v>
                </c:pt>
              </c:numCache>
            </c:numRef>
          </c:yVal>
          <c:smooth val="0"/>
          <c:extLst>
            <c:ext xmlns:c16="http://schemas.microsoft.com/office/drawing/2014/chart" uri="{C3380CC4-5D6E-409C-BE32-E72D297353CC}">
              <c16:uniqueId val="{00000000-AD46-430B-9862-CFF3D5967197}"/>
            </c:ext>
          </c:extLst>
        </c:ser>
        <c:dLbls>
          <c:showLegendKey val="0"/>
          <c:showVal val="0"/>
          <c:showCatName val="0"/>
          <c:showSerName val="0"/>
          <c:showPercent val="0"/>
          <c:showBubbleSize val="0"/>
        </c:dLbls>
        <c:axId val="102575488"/>
        <c:axId val="102597760"/>
      </c:scatterChart>
      <c:valAx>
        <c:axId val="102575488"/>
        <c:scaling>
          <c:orientation val="minMax"/>
        </c:scaling>
        <c:delete val="0"/>
        <c:axPos val="b"/>
        <c:numFmt formatCode="General" sourceLinked="1"/>
        <c:majorTickMark val="out"/>
        <c:minorTickMark val="none"/>
        <c:tickLblPos val="nextTo"/>
        <c:crossAx val="102597760"/>
        <c:crosses val="autoZero"/>
        <c:crossBetween val="midCat"/>
      </c:valAx>
      <c:valAx>
        <c:axId val="102597760"/>
        <c:scaling>
          <c:orientation val="minMax"/>
        </c:scaling>
        <c:delete val="0"/>
        <c:axPos val="l"/>
        <c:majorGridlines/>
        <c:numFmt formatCode="0.0" sourceLinked="1"/>
        <c:majorTickMark val="out"/>
        <c:minorTickMark val="none"/>
        <c:tickLblPos val="nextTo"/>
        <c:crossAx val="10257548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czeta_bkwd_3304s_id9_b!$C$139:$C$143</c:f>
              <c:numCache>
                <c:formatCode>General</c:formatCode>
                <c:ptCount val="5"/>
                <c:pt idx="0">
                  <c:v>10</c:v>
                </c:pt>
                <c:pt idx="1">
                  <c:v>20</c:v>
                </c:pt>
                <c:pt idx="2">
                  <c:v>30</c:v>
                </c:pt>
                <c:pt idx="3">
                  <c:v>40</c:v>
                </c:pt>
                <c:pt idx="4">
                  <c:v>50</c:v>
                </c:pt>
              </c:numCache>
            </c:numRef>
          </c:xVal>
          <c:yVal>
            <c:numRef>
              <c:f>czeta_bkwd_3304s_id9_b!$D$139:$D$143</c:f>
              <c:numCache>
                <c:formatCode>General</c:formatCode>
                <c:ptCount val="5"/>
                <c:pt idx="0">
                  <c:v>181.91714285714289</c:v>
                </c:pt>
                <c:pt idx="1">
                  <c:v>301.8314285714286</c:v>
                </c:pt>
                <c:pt idx="2">
                  <c:v>415.40285714285716</c:v>
                </c:pt>
                <c:pt idx="3">
                  <c:v>521.43142857142857</c:v>
                </c:pt>
                <c:pt idx="4">
                  <c:v>618.71714285714279</c:v>
                </c:pt>
              </c:numCache>
            </c:numRef>
          </c:yVal>
          <c:smooth val="0"/>
          <c:extLst>
            <c:ext xmlns:c16="http://schemas.microsoft.com/office/drawing/2014/chart" uri="{C3380CC4-5D6E-409C-BE32-E72D297353CC}">
              <c16:uniqueId val="{00000001-89E2-46C6-A72E-0D9E6D339ADB}"/>
            </c:ext>
          </c:extLst>
        </c:ser>
        <c:dLbls>
          <c:showLegendKey val="0"/>
          <c:showVal val="0"/>
          <c:showCatName val="0"/>
          <c:showSerName val="0"/>
          <c:showPercent val="0"/>
          <c:showBubbleSize val="0"/>
        </c:dLbls>
        <c:axId val="126391040"/>
        <c:axId val="126392576"/>
      </c:scatterChart>
      <c:valAx>
        <c:axId val="126391040"/>
        <c:scaling>
          <c:orientation val="minMax"/>
        </c:scaling>
        <c:delete val="0"/>
        <c:axPos val="b"/>
        <c:numFmt formatCode="General" sourceLinked="1"/>
        <c:majorTickMark val="out"/>
        <c:minorTickMark val="none"/>
        <c:tickLblPos val="nextTo"/>
        <c:crossAx val="126392576"/>
        <c:crosses val="autoZero"/>
        <c:crossBetween val="midCat"/>
      </c:valAx>
      <c:valAx>
        <c:axId val="126392576"/>
        <c:scaling>
          <c:orientation val="minMax"/>
        </c:scaling>
        <c:delete val="0"/>
        <c:axPos val="l"/>
        <c:majorGridlines/>
        <c:numFmt formatCode="General" sourceLinked="1"/>
        <c:majorTickMark val="out"/>
        <c:minorTickMark val="none"/>
        <c:tickLblPos val="nextTo"/>
        <c:crossAx val="126391040"/>
        <c:crosses val="autoZero"/>
        <c:crossBetween val="midCat"/>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czeta_bkwd_3304s_id9_b!$C$108:$C$112</c:f>
              <c:numCache>
                <c:formatCode>General</c:formatCode>
                <c:ptCount val="5"/>
                <c:pt idx="0">
                  <c:v>1</c:v>
                </c:pt>
                <c:pt idx="1">
                  <c:v>2</c:v>
                </c:pt>
                <c:pt idx="2">
                  <c:v>3</c:v>
                </c:pt>
                <c:pt idx="3">
                  <c:v>4</c:v>
                </c:pt>
                <c:pt idx="4">
                  <c:v>5</c:v>
                </c:pt>
              </c:numCache>
            </c:numRef>
          </c:xVal>
          <c:yVal>
            <c:numRef>
              <c:f>czeta_bkwd_3304s_id9_b!$D$108:$D$112</c:f>
              <c:numCache>
                <c:formatCode>0.00</c:formatCode>
                <c:ptCount val="5"/>
                <c:pt idx="0">
                  <c:v>29.9</c:v>
                </c:pt>
                <c:pt idx="1">
                  <c:v>57.505714285714284</c:v>
                </c:pt>
                <c:pt idx="2">
                  <c:v>79.491428571428571</c:v>
                </c:pt>
                <c:pt idx="3">
                  <c:v>97.505714285714305</c:v>
                </c:pt>
                <c:pt idx="4">
                  <c:v>113.39857142857147</c:v>
                </c:pt>
              </c:numCache>
            </c:numRef>
          </c:yVal>
          <c:smooth val="0"/>
          <c:extLst>
            <c:ext xmlns:c16="http://schemas.microsoft.com/office/drawing/2014/chart" uri="{C3380CC4-5D6E-409C-BE32-E72D297353CC}">
              <c16:uniqueId val="{00000000-25A9-4AAF-B28A-4B12B5704260}"/>
            </c:ext>
          </c:extLst>
        </c:ser>
        <c:dLbls>
          <c:showLegendKey val="0"/>
          <c:showVal val="0"/>
          <c:showCatName val="0"/>
          <c:showSerName val="0"/>
          <c:showPercent val="0"/>
          <c:showBubbleSize val="0"/>
        </c:dLbls>
        <c:axId val="126412288"/>
        <c:axId val="126413824"/>
      </c:scatterChart>
      <c:valAx>
        <c:axId val="126412288"/>
        <c:scaling>
          <c:orientation val="minMax"/>
        </c:scaling>
        <c:delete val="0"/>
        <c:axPos val="b"/>
        <c:numFmt formatCode="General" sourceLinked="1"/>
        <c:majorTickMark val="out"/>
        <c:minorTickMark val="none"/>
        <c:tickLblPos val="nextTo"/>
        <c:crossAx val="126413824"/>
        <c:crosses val="autoZero"/>
        <c:crossBetween val="midCat"/>
      </c:valAx>
      <c:valAx>
        <c:axId val="126413824"/>
        <c:scaling>
          <c:orientation val="minMax"/>
        </c:scaling>
        <c:delete val="0"/>
        <c:axPos val="l"/>
        <c:majorGridlines/>
        <c:numFmt formatCode="0.00" sourceLinked="1"/>
        <c:majorTickMark val="out"/>
        <c:minorTickMark val="none"/>
        <c:tickLblPos val="nextTo"/>
        <c:crossAx val="126412288"/>
        <c:crosses val="autoZero"/>
        <c:crossBetween val="midCat"/>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czeta_bkwd_3304s_id9_b!$H$134:$H$143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czeta_bkwd_3304s_id9_b!$I$134:$I$143</c:f>
              <c:numCache>
                <c:formatCode>0.0</c:formatCode>
                <c:ptCount val="10"/>
                <c:pt idx="0">
                  <c:v>29.897122448979594</c:v>
                </c:pt>
                <c:pt idx="1">
                  <c:v>57.517224489795893</c:v>
                </c:pt>
                <c:pt idx="2">
                  <c:v>79.474163265306117</c:v>
                </c:pt>
                <c:pt idx="3">
                  <c:v>97.51722448979595</c:v>
                </c:pt>
                <c:pt idx="4">
                  <c:v>113.39569387755107</c:v>
                </c:pt>
                <c:pt idx="5">
                  <c:v>181.91714285714289</c:v>
                </c:pt>
                <c:pt idx="6">
                  <c:v>301.83142857142866</c:v>
                </c:pt>
                <c:pt idx="7">
                  <c:v>415.40285714285721</c:v>
                </c:pt>
                <c:pt idx="8">
                  <c:v>521.43142857142846</c:v>
                </c:pt>
                <c:pt idx="9">
                  <c:v>618.71714285714268</c:v>
                </c:pt>
              </c:numCache>
            </c:numRef>
          </c:yVal>
          <c:smooth val="0"/>
          <c:extLst>
            <c:ext xmlns:c16="http://schemas.microsoft.com/office/drawing/2014/chart" uri="{C3380CC4-5D6E-409C-BE32-E72D297353CC}">
              <c16:uniqueId val="{00000000-691A-443B-9301-4562C9BA53A4}"/>
            </c:ext>
          </c:extLst>
        </c:ser>
        <c:dLbls>
          <c:showLegendKey val="0"/>
          <c:showVal val="0"/>
          <c:showCatName val="0"/>
          <c:showSerName val="0"/>
          <c:showPercent val="0"/>
          <c:showBubbleSize val="0"/>
        </c:dLbls>
        <c:axId val="126437632"/>
        <c:axId val="126443520"/>
      </c:scatterChart>
      <c:valAx>
        <c:axId val="126437632"/>
        <c:scaling>
          <c:orientation val="minMax"/>
        </c:scaling>
        <c:delete val="0"/>
        <c:axPos val="b"/>
        <c:numFmt formatCode="General" sourceLinked="1"/>
        <c:majorTickMark val="out"/>
        <c:minorTickMark val="none"/>
        <c:tickLblPos val="nextTo"/>
        <c:crossAx val="126443520"/>
        <c:crosses val="autoZero"/>
        <c:crossBetween val="midCat"/>
      </c:valAx>
      <c:valAx>
        <c:axId val="126443520"/>
        <c:scaling>
          <c:orientation val="minMax"/>
        </c:scaling>
        <c:delete val="0"/>
        <c:axPos val="l"/>
        <c:majorGridlines/>
        <c:numFmt formatCode="0.0" sourceLinked="1"/>
        <c:majorTickMark val="out"/>
        <c:minorTickMark val="none"/>
        <c:tickLblPos val="nextTo"/>
        <c:crossAx val="1264376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czeta_bkwd_3304s_id9_b!$C$109:$C$117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czeta_bkwd_3304s_id9_b!$E$109:$E$117</c:f>
              <c:numCache>
                <c:formatCode>0.00</c:formatCode>
                <c:ptCount val="9"/>
                <c:pt idx="0">
                  <c:v>1.9232680363115147</c:v>
                </c:pt>
                <c:pt idx="1">
                  <c:v>1.3823222536890745</c:v>
                </c:pt>
                <c:pt idx="2">
                  <c:v>1.2266192221982606</c:v>
                </c:pt>
                <c:pt idx="3">
                  <c:v>1.1629941102352979</c:v>
                </c:pt>
                <c:pt idx="4">
                  <c:v>0.320845563688129</c:v>
                </c:pt>
                <c:pt idx="5">
                  <c:v>0.16591697947260134</c:v>
                </c:pt>
                <c:pt idx="6">
                  <c:v>0.13762743631733892</c:v>
                </c:pt>
                <c:pt idx="7">
                  <c:v>0.12552427591804169</c:v>
                </c:pt>
                <c:pt idx="8">
                  <c:v>0.11865743201407115</c:v>
                </c:pt>
              </c:numCache>
            </c:numRef>
          </c:yVal>
          <c:smooth val="0"/>
          <c:extLst>
            <c:ext xmlns:c16="http://schemas.microsoft.com/office/drawing/2014/chart" uri="{C3380CC4-5D6E-409C-BE32-E72D297353CC}">
              <c16:uniqueId val="{00000000-B2CF-4992-8342-4CB84EBA9454}"/>
            </c:ext>
          </c:extLst>
        </c:ser>
        <c:dLbls>
          <c:showLegendKey val="0"/>
          <c:showVal val="0"/>
          <c:showCatName val="0"/>
          <c:showSerName val="0"/>
          <c:showPercent val="0"/>
          <c:showBubbleSize val="0"/>
        </c:dLbls>
        <c:axId val="126500864"/>
        <c:axId val="126502400"/>
      </c:scatterChart>
      <c:valAx>
        <c:axId val="126500864"/>
        <c:scaling>
          <c:orientation val="minMax"/>
        </c:scaling>
        <c:delete val="0"/>
        <c:axPos val="b"/>
        <c:numFmt formatCode="General" sourceLinked="1"/>
        <c:majorTickMark val="out"/>
        <c:minorTickMark val="none"/>
        <c:tickLblPos val="nextTo"/>
        <c:crossAx val="126502400"/>
        <c:crosses val="autoZero"/>
        <c:crossBetween val="midCat"/>
      </c:valAx>
      <c:valAx>
        <c:axId val="126502400"/>
        <c:scaling>
          <c:orientation val="minMax"/>
          <c:max val="2.5"/>
          <c:min val="0"/>
        </c:scaling>
        <c:delete val="0"/>
        <c:axPos val="l"/>
        <c:majorGridlines/>
        <c:numFmt formatCode="0.00" sourceLinked="1"/>
        <c:majorTickMark val="out"/>
        <c:minorTickMark val="none"/>
        <c:tickLblPos val="nextTo"/>
        <c:crossAx val="126500864"/>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czeta_bkwd_3423s_id12_f!$B$30:$B$39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czeta_bkwd_3423s_id12_f!$C$30:$C$39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0107-4E6A-809C-D06ECC0E270C}"/>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czeta_bkwd_3423s_id12_f!$B$30:$B$39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czeta_bkwd_3423s_id12_f!$D$30:$D$39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ECEF-45E8-AB61-1154F6AA8492}"/>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czeta_bkwd_3423s_id12_f!$C$139:$C$143</c:f>
              <c:numCache>
                <c:formatCode>General</c:formatCode>
                <c:ptCount val="5"/>
                <c:pt idx="0">
                  <c:v>10</c:v>
                </c:pt>
                <c:pt idx="1">
                  <c:v>20</c:v>
                </c:pt>
                <c:pt idx="2">
                  <c:v>30</c:v>
                </c:pt>
                <c:pt idx="3">
                  <c:v>40</c:v>
                </c:pt>
                <c:pt idx="4">
                  <c:v>50</c:v>
                </c:pt>
              </c:numCache>
            </c:numRef>
          </c:xVal>
          <c:yVal>
            <c:numRef>
              <c:f>czeta_bkwd_3423s_id12_f!$D$139:$D$143</c:f>
              <c:numCache>
                <c:formatCode>General</c:formatCode>
                <c:ptCount val="5"/>
                <c:pt idx="0">
                  <c:v>184.11</c:v>
                </c:pt>
                <c:pt idx="1">
                  <c:v>296.42</c:v>
                </c:pt>
                <c:pt idx="2">
                  <c:v>395.5</c:v>
                </c:pt>
                <c:pt idx="3">
                  <c:v>487.68</c:v>
                </c:pt>
                <c:pt idx="4">
                  <c:v>575.63</c:v>
                </c:pt>
              </c:numCache>
            </c:numRef>
          </c:yVal>
          <c:smooth val="0"/>
          <c:extLst>
            <c:ext xmlns:c16="http://schemas.microsoft.com/office/drawing/2014/chart" uri="{C3380CC4-5D6E-409C-BE32-E72D297353CC}">
              <c16:uniqueId val="{00000001-BBE6-4E40-9F91-BF13EE2999AD}"/>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czeta_bkwd_3423s_id12_f!$C$108:$C$112</c:f>
              <c:numCache>
                <c:formatCode>General</c:formatCode>
                <c:ptCount val="5"/>
                <c:pt idx="0">
                  <c:v>1</c:v>
                </c:pt>
                <c:pt idx="1">
                  <c:v>2</c:v>
                </c:pt>
                <c:pt idx="2">
                  <c:v>3</c:v>
                </c:pt>
                <c:pt idx="3">
                  <c:v>4</c:v>
                </c:pt>
                <c:pt idx="4">
                  <c:v>5</c:v>
                </c:pt>
              </c:numCache>
            </c:numRef>
          </c:xVal>
          <c:yVal>
            <c:numRef>
              <c:f>czeta_bkwd_3423s_id12_f!$D$108:$D$112</c:f>
              <c:numCache>
                <c:formatCode>0.00</c:formatCode>
                <c:ptCount val="5"/>
                <c:pt idx="0">
                  <c:v>33.700000000000003</c:v>
                </c:pt>
                <c:pt idx="1">
                  <c:v>61.99</c:v>
                </c:pt>
                <c:pt idx="2">
                  <c:v>83.7</c:v>
                </c:pt>
                <c:pt idx="3">
                  <c:v>103.5</c:v>
                </c:pt>
                <c:pt idx="4">
                  <c:v>117.88</c:v>
                </c:pt>
              </c:numCache>
            </c:numRef>
          </c:yVal>
          <c:smooth val="0"/>
          <c:extLst>
            <c:ext xmlns:c16="http://schemas.microsoft.com/office/drawing/2014/chart" uri="{C3380CC4-5D6E-409C-BE32-E72D297353CC}">
              <c16:uniqueId val="{00000000-EFA1-492B-89E7-5CAFBB46E04F}"/>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czeta_bkwd_3423s_id12_f!$H$134:$H$143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czeta_bkwd_3423s_id12_f!$I$134:$I$143</c:f>
              <c:numCache>
                <c:formatCode>0.0</c:formatCode>
                <c:ptCount val="10"/>
                <c:pt idx="0">
                  <c:v>33.816857142857138</c:v>
                </c:pt>
                <c:pt idx="1">
                  <c:v>61.522571428571403</c:v>
                </c:pt>
                <c:pt idx="2">
                  <c:v>84.401142857142844</c:v>
                </c:pt>
                <c:pt idx="3">
                  <c:v>103.03257142857143</c:v>
                </c:pt>
                <c:pt idx="4">
                  <c:v>117.99685714285714</c:v>
                </c:pt>
                <c:pt idx="5">
                  <c:v>184.16228571428584</c:v>
                </c:pt>
                <c:pt idx="6">
                  <c:v>296.21085714285726</c:v>
                </c:pt>
                <c:pt idx="7">
                  <c:v>395.81371428571435</c:v>
                </c:pt>
                <c:pt idx="8">
                  <c:v>487.47085714285714</c:v>
                </c:pt>
                <c:pt idx="9">
                  <c:v>575.68228571428574</c:v>
                </c:pt>
              </c:numCache>
            </c:numRef>
          </c:yVal>
          <c:smooth val="0"/>
          <c:extLst>
            <c:ext xmlns:c16="http://schemas.microsoft.com/office/drawing/2014/chart" uri="{C3380CC4-5D6E-409C-BE32-E72D297353CC}">
              <c16:uniqueId val="{00000000-35D8-4A46-836C-F22ECCFF1275}"/>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czeta_bkwd_3423s_id12_f!$C$109:$C$117</c:f>
              <c:numCache>
                <c:formatCode>General</c:formatCode>
                <c:ptCount val="9"/>
                <c:pt idx="0">
                  <c:v>2</c:v>
                </c:pt>
                <c:pt idx="1">
                  <c:v>3</c:v>
                </c:pt>
                <c:pt idx="2">
                  <c:v>4</c:v>
                </c:pt>
                <c:pt idx="3">
                  <c:v>5</c:v>
                </c:pt>
                <c:pt idx="4">
                  <c:v>10</c:v>
                </c:pt>
                <c:pt idx="5">
                  <c:v>20</c:v>
                </c:pt>
                <c:pt idx="6">
                  <c:v>30</c:v>
                </c:pt>
                <c:pt idx="7">
                  <c:v>40</c:v>
                </c:pt>
                <c:pt idx="8">
                  <c:v>50</c:v>
                </c:pt>
              </c:numCache>
            </c:numRef>
          </c:xVal>
          <c:yVal>
            <c:numRef>
              <c:f>czeta_bkwd_3423s_id12_f!$E$109:$E$117</c:f>
              <c:numCache>
                <c:formatCode>0.00</c:formatCode>
                <c:ptCount val="9"/>
                <c:pt idx="0">
                  <c:v>1.8394658753709199</c:v>
                </c:pt>
                <c:pt idx="1">
                  <c:v>1.3502177770608164</c:v>
                </c:pt>
                <c:pt idx="2">
                  <c:v>1.2365591397849462</c:v>
                </c:pt>
                <c:pt idx="3">
                  <c:v>1.1389371980676328</c:v>
                </c:pt>
                <c:pt idx="4">
                  <c:v>0.31236851034950802</c:v>
                </c:pt>
                <c:pt idx="5">
                  <c:v>0.16100157514529356</c:v>
                </c:pt>
                <c:pt idx="6">
                  <c:v>0.13342554483503138</c:v>
                </c:pt>
                <c:pt idx="7">
                  <c:v>0.12330720606826802</c:v>
                </c:pt>
                <c:pt idx="8">
                  <c:v>0.11803436679790028</c:v>
                </c:pt>
              </c:numCache>
            </c:numRef>
          </c:yVal>
          <c:smooth val="0"/>
          <c:extLst>
            <c:ext xmlns:c16="http://schemas.microsoft.com/office/drawing/2014/chart" uri="{C3380CC4-5D6E-409C-BE32-E72D297353CC}">
              <c16:uniqueId val="{00000000-DCD2-4DB8-9E28-2A1CB3D57DA8}"/>
            </c:ext>
          </c:extLst>
        </c:ser>
        <c:dLbls>
          <c:showLegendKey val="0"/>
          <c:showVal val="0"/>
          <c:showCatName val="0"/>
          <c:showSerName val="0"/>
          <c:showPercent val="0"/>
          <c:showBubbleSize val="0"/>
        </c:dLbls>
        <c:axId val="127532032"/>
        <c:axId val="127550208"/>
      </c:scatterChart>
      <c:valAx>
        <c:axId val="127532032"/>
        <c:scaling>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czeta_bkwd_3075s_trend_v2!$B$30:$B$39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czeta_bkwd_3075s_trend_v2!$C$30:$C$39</c:f>
              <c:numCache>
                <c:formatCode>0.00</c:formatCode>
                <c:ptCount val="10"/>
                <c:pt idx="0">
                  <c:v>2</c:v>
                </c:pt>
                <c:pt idx="1">
                  <c:v>4</c:v>
                </c:pt>
                <c:pt idx="2">
                  <c:v>5.8</c:v>
                </c:pt>
                <c:pt idx="3">
                  <c:v>7.51</c:v>
                </c:pt>
                <c:pt idx="4">
                  <c:v>9</c:v>
                </c:pt>
                <c:pt idx="5">
                  <c:v>11.51</c:v>
                </c:pt>
                <c:pt idx="6">
                  <c:v>13</c:v>
                </c:pt>
                <c:pt idx="7">
                  <c:v>13</c:v>
                </c:pt>
                <c:pt idx="8">
                  <c:v>13</c:v>
                </c:pt>
                <c:pt idx="9">
                  <c:v>13</c:v>
                </c:pt>
              </c:numCache>
            </c:numRef>
          </c:yVal>
          <c:smooth val="0"/>
          <c:extLst>
            <c:ext xmlns:c16="http://schemas.microsoft.com/office/drawing/2014/chart" uri="{C3380CC4-5D6E-409C-BE32-E72D297353CC}">
              <c16:uniqueId val="{00000000-8F07-4C43-ACFF-328DEAF2228D}"/>
            </c:ext>
          </c:extLst>
        </c:ser>
        <c:dLbls>
          <c:showLegendKey val="0"/>
          <c:showVal val="0"/>
          <c:showCatName val="0"/>
          <c:showSerName val="0"/>
          <c:showPercent val="0"/>
          <c:showBubbleSize val="0"/>
        </c:dLbls>
        <c:axId val="109513728"/>
        <c:axId val="78566144"/>
      </c:scatterChart>
      <c:valAx>
        <c:axId val="109513728"/>
        <c:scaling>
          <c:orientation val="minMax"/>
        </c:scaling>
        <c:delete val="0"/>
        <c:axPos val="b"/>
        <c:numFmt formatCode="General" sourceLinked="1"/>
        <c:majorTickMark val="out"/>
        <c:minorTickMark val="none"/>
        <c:tickLblPos val="nextTo"/>
        <c:crossAx val="78566144"/>
        <c:crosses val="autoZero"/>
        <c:crossBetween val="midCat"/>
      </c:valAx>
      <c:valAx>
        <c:axId val="78566144"/>
        <c:scaling>
          <c:orientation val="minMax"/>
        </c:scaling>
        <c:delete val="0"/>
        <c:axPos val="l"/>
        <c:majorGridlines/>
        <c:numFmt formatCode="0.00" sourceLinked="1"/>
        <c:majorTickMark val="out"/>
        <c:minorTickMark val="none"/>
        <c:tickLblPos val="nextTo"/>
        <c:crossAx val="109513728"/>
        <c:crosses val="autoZero"/>
        <c:crossBetween val="midCat"/>
      </c:valAx>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czeta_bkwd_3694s_1of5!$B$30:$B$39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czeta_bkwd_3694s_1of5!$C$30:$C$39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329A-44FB-A9C0-88BC24DD3D7E}"/>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czeta_bkwd_3694s_1of5!$B$30:$B$39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czeta_bkwd_3694s_1of5!$D$30:$D$39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D790-4BBE-80FB-261FD57CC9EE}"/>
            </c:ext>
          </c:extLst>
        </c:ser>
        <c:dLbls>
          <c:showLegendKey val="0"/>
          <c:showVal val="0"/>
          <c:showCatName val="0"/>
          <c:showSerName val="0"/>
          <c:showPercent val="0"/>
          <c:showBubbleSize val="0"/>
        </c:dLbls>
        <c:axId val="127342848"/>
        <c:axId val="127344640"/>
      </c:scatterChart>
      <c:valAx>
        <c:axId val="127342848"/>
        <c:scaling>
          <c:logBase val="10"/>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czeta_bkwd_3694s_1of5!$C$134:$C$138</c:f>
              <c:numCache>
                <c:formatCode>General</c:formatCode>
                <c:ptCount val="5"/>
                <c:pt idx="0">
                  <c:v>1</c:v>
                </c:pt>
                <c:pt idx="1">
                  <c:v>2</c:v>
                </c:pt>
                <c:pt idx="2">
                  <c:v>3</c:v>
                </c:pt>
                <c:pt idx="3">
                  <c:v>4</c:v>
                </c:pt>
                <c:pt idx="4">
                  <c:v>5</c:v>
                </c:pt>
              </c:numCache>
            </c:numRef>
          </c:xVal>
          <c:yVal>
            <c:numRef>
              <c:f>czeta_bkwd_3694s_1of5!$D$134:$D$138</c:f>
              <c:numCache>
                <c:formatCode>General</c:formatCode>
                <c:ptCount val="5"/>
                <c:pt idx="0">
                  <c:v>23.5</c:v>
                </c:pt>
                <c:pt idx="1">
                  <c:v>48.1</c:v>
                </c:pt>
                <c:pt idx="2">
                  <c:v>68.900000000000006</c:v>
                </c:pt>
                <c:pt idx="3">
                  <c:v>87.5</c:v>
                </c:pt>
                <c:pt idx="4">
                  <c:v>105.1</c:v>
                </c:pt>
              </c:numCache>
            </c:numRef>
          </c:yVal>
          <c:smooth val="0"/>
          <c:extLst>
            <c:ext xmlns:c16="http://schemas.microsoft.com/office/drawing/2014/chart" uri="{C3380CC4-5D6E-409C-BE32-E72D297353CC}">
              <c16:uniqueId val="{00000001-2475-4A88-9124-21EC137EDD9A}"/>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czeta_bkwd_3694s_1of5!$C$108:$C$112</c:f>
              <c:numCache>
                <c:formatCode>General</c:formatCode>
                <c:ptCount val="5"/>
                <c:pt idx="0">
                  <c:v>1</c:v>
                </c:pt>
                <c:pt idx="1">
                  <c:v>2</c:v>
                </c:pt>
                <c:pt idx="2">
                  <c:v>3</c:v>
                </c:pt>
                <c:pt idx="3">
                  <c:v>4</c:v>
                </c:pt>
                <c:pt idx="4">
                  <c:v>5</c:v>
                </c:pt>
              </c:numCache>
            </c:numRef>
          </c:xVal>
          <c:yVal>
            <c:numRef>
              <c:f>czeta_bkwd_3694s_1of5!$D$108:$D$112</c:f>
              <c:numCache>
                <c:formatCode>0.00</c:formatCode>
                <c:ptCount val="5"/>
                <c:pt idx="0">
                  <c:v>23.5</c:v>
                </c:pt>
                <c:pt idx="1">
                  <c:v>48.1</c:v>
                </c:pt>
                <c:pt idx="2">
                  <c:v>68.900000000000006</c:v>
                </c:pt>
                <c:pt idx="3">
                  <c:v>87.5</c:v>
                </c:pt>
                <c:pt idx="4">
                  <c:v>105.1</c:v>
                </c:pt>
              </c:numCache>
            </c:numRef>
          </c:yVal>
          <c:smooth val="0"/>
          <c:extLst>
            <c:ext xmlns:c16="http://schemas.microsoft.com/office/drawing/2014/chart" uri="{C3380CC4-5D6E-409C-BE32-E72D297353CC}">
              <c16:uniqueId val="{00000000-5E8D-4911-B841-A93B5C4A963F}"/>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czeta_bkwd_3694s_1of5!$H$134:$H$143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czeta_bkwd_3694s_1of5!$I$134:$I$143</c:f>
              <c:numCache>
                <c:formatCode>0.0</c:formatCode>
                <c:ptCount val="10"/>
                <c:pt idx="0">
                  <c:v>23.505714285714284</c:v>
                </c:pt>
                <c:pt idx="1">
                  <c:v>48.077142857142832</c:v>
                </c:pt>
                <c:pt idx="2">
                  <c:v>68.934285714285707</c:v>
                </c:pt>
                <c:pt idx="3">
                  <c:v>87.47714285714288</c:v>
                </c:pt>
                <c:pt idx="4">
                  <c:v>105.1057142857143</c:v>
                </c:pt>
                <c:pt idx="5">
                  <c:v>179.89000000000004</c:v>
                </c:pt>
                <c:pt idx="6">
                  <c:v>303.24000000000012</c:v>
                </c:pt>
                <c:pt idx="7">
                  <c:v>410.84000000000003</c:v>
                </c:pt>
                <c:pt idx="8">
                  <c:v>508.53999999999985</c:v>
                </c:pt>
                <c:pt idx="9">
                  <c:v>602.18999999999983</c:v>
                </c:pt>
              </c:numCache>
            </c:numRef>
          </c:yVal>
          <c:smooth val="0"/>
          <c:extLst>
            <c:ext xmlns:c16="http://schemas.microsoft.com/office/drawing/2014/chart" uri="{C3380CC4-5D6E-409C-BE32-E72D297353CC}">
              <c16:uniqueId val="{00000000-B9DA-443B-962F-35762AED2970}"/>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czeta_bkwd_3694s_1of5!$C$109:$C$113</c:f>
              <c:numCache>
                <c:formatCode>General</c:formatCode>
                <c:ptCount val="5"/>
                <c:pt idx="0">
                  <c:v>2</c:v>
                </c:pt>
                <c:pt idx="1">
                  <c:v>3</c:v>
                </c:pt>
                <c:pt idx="2">
                  <c:v>4</c:v>
                </c:pt>
                <c:pt idx="3">
                  <c:v>5</c:v>
                </c:pt>
                <c:pt idx="4">
                  <c:v>10</c:v>
                </c:pt>
              </c:numCache>
            </c:numRef>
          </c:xVal>
          <c:yVal>
            <c:numRef>
              <c:f>czeta_bkwd_3694s_1of5!$E$109:$E$113</c:f>
              <c:numCache>
                <c:formatCode>0.00</c:formatCode>
                <c:ptCount val="5"/>
                <c:pt idx="0">
                  <c:v>2.0468085106382978</c:v>
                </c:pt>
                <c:pt idx="1">
                  <c:v>1.4324324324324325</c:v>
                </c:pt>
                <c:pt idx="2">
                  <c:v>1.2699564586357037</c:v>
                </c:pt>
                <c:pt idx="3">
                  <c:v>1.2011428571428571</c:v>
                </c:pt>
                <c:pt idx="4">
                  <c:v>0.34234062797335874</c:v>
                </c:pt>
              </c:numCache>
            </c:numRef>
          </c:yVal>
          <c:smooth val="0"/>
          <c:extLst>
            <c:ext xmlns:c16="http://schemas.microsoft.com/office/drawing/2014/chart" uri="{C3380CC4-5D6E-409C-BE32-E72D297353CC}">
              <c16:uniqueId val="{00000000-93BF-45C6-A200-787AF42F38F5}"/>
            </c:ext>
          </c:extLst>
        </c:ser>
        <c:dLbls>
          <c:showLegendKey val="0"/>
          <c:showVal val="0"/>
          <c:showCatName val="0"/>
          <c:showSerName val="0"/>
          <c:showPercent val="0"/>
          <c:showBubbleSize val="0"/>
        </c:dLbls>
        <c:axId val="127532032"/>
        <c:axId val="127550208"/>
      </c:scatterChart>
      <c:valAx>
        <c:axId val="127532032"/>
        <c:scaling>
          <c:logBase val="10"/>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czeta_bkwd_3694s_1of5!$X$185:$X$194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czeta_bkwd_3694s_1of5!$Y$185:$Y$194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2646-4AA3-82D7-68E22517189A}"/>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czeta_bkwd_3694s_2of5!$B$30:$B$39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czeta_bkwd_3694s_2of5!$C$30:$C$39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7744-4BC0-8BDF-698C7B1E8A4F}"/>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czeta_bkwd_3694s_2of5!$B$30:$B$39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czeta_bkwd_3694s_2of5!$D$30:$D$39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9AD5-4D0D-9116-F77EA25FE390}"/>
            </c:ext>
          </c:extLst>
        </c:ser>
        <c:dLbls>
          <c:showLegendKey val="0"/>
          <c:showVal val="0"/>
          <c:showCatName val="0"/>
          <c:showSerName val="0"/>
          <c:showPercent val="0"/>
          <c:showBubbleSize val="0"/>
        </c:dLbls>
        <c:axId val="127342848"/>
        <c:axId val="127344640"/>
      </c:scatterChart>
      <c:valAx>
        <c:axId val="127342848"/>
        <c:scaling>
          <c:logBase val="10"/>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czeta_bkwd_3694s_2of5!$C$134:$C$138</c:f>
              <c:numCache>
                <c:formatCode>General</c:formatCode>
                <c:ptCount val="5"/>
                <c:pt idx="0">
                  <c:v>1</c:v>
                </c:pt>
                <c:pt idx="1">
                  <c:v>2</c:v>
                </c:pt>
                <c:pt idx="2">
                  <c:v>3</c:v>
                </c:pt>
                <c:pt idx="3">
                  <c:v>4</c:v>
                </c:pt>
                <c:pt idx="4">
                  <c:v>5</c:v>
                </c:pt>
              </c:numCache>
            </c:numRef>
          </c:xVal>
          <c:yVal>
            <c:numRef>
              <c:f>czeta_bkwd_3694s_2of5!$D$134:$D$138</c:f>
              <c:numCache>
                <c:formatCode>General</c:formatCode>
                <c:ptCount val="5"/>
                <c:pt idx="0">
                  <c:v>27</c:v>
                </c:pt>
                <c:pt idx="1">
                  <c:v>53.9</c:v>
                </c:pt>
                <c:pt idx="2">
                  <c:v>75.400000000000006</c:v>
                </c:pt>
                <c:pt idx="3">
                  <c:v>93.5</c:v>
                </c:pt>
                <c:pt idx="4">
                  <c:v>110.2</c:v>
                </c:pt>
              </c:numCache>
            </c:numRef>
          </c:yVal>
          <c:smooth val="0"/>
          <c:extLst>
            <c:ext xmlns:c16="http://schemas.microsoft.com/office/drawing/2014/chart" uri="{C3380CC4-5D6E-409C-BE32-E72D297353CC}">
              <c16:uniqueId val="{00000001-F307-401F-B630-C8E42363242D}"/>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czeta_bkwd_3075s_trend_v2!$B$30:$B$39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czeta_bkwd_3075s_trend_v2!$D$30:$D$39</c:f>
              <c:numCache>
                <c:formatCode>0.00</c:formatCode>
                <c:ptCount val="10"/>
                <c:pt idx="0">
                  <c:v>0.75</c:v>
                </c:pt>
                <c:pt idx="1">
                  <c:v>2</c:v>
                </c:pt>
                <c:pt idx="2">
                  <c:v>3.3</c:v>
                </c:pt>
                <c:pt idx="3">
                  <c:v>4.7</c:v>
                </c:pt>
                <c:pt idx="4">
                  <c:v>5.9</c:v>
                </c:pt>
                <c:pt idx="5">
                  <c:v>10</c:v>
                </c:pt>
                <c:pt idx="6">
                  <c:v>13</c:v>
                </c:pt>
                <c:pt idx="7">
                  <c:v>13</c:v>
                </c:pt>
                <c:pt idx="8">
                  <c:v>13</c:v>
                </c:pt>
                <c:pt idx="9">
                  <c:v>13</c:v>
                </c:pt>
              </c:numCache>
            </c:numRef>
          </c:yVal>
          <c:smooth val="0"/>
          <c:extLst>
            <c:ext xmlns:c16="http://schemas.microsoft.com/office/drawing/2014/chart" uri="{C3380CC4-5D6E-409C-BE32-E72D297353CC}">
              <c16:uniqueId val="{00000000-F756-42BC-B337-6A2C8D459DD8}"/>
            </c:ext>
          </c:extLst>
        </c:ser>
        <c:dLbls>
          <c:showLegendKey val="0"/>
          <c:showVal val="0"/>
          <c:showCatName val="0"/>
          <c:showSerName val="0"/>
          <c:showPercent val="0"/>
          <c:showBubbleSize val="0"/>
        </c:dLbls>
        <c:axId val="109551616"/>
        <c:axId val="109553152"/>
      </c:scatterChart>
      <c:valAx>
        <c:axId val="109551616"/>
        <c:scaling>
          <c:orientation val="minMax"/>
        </c:scaling>
        <c:delete val="0"/>
        <c:axPos val="b"/>
        <c:numFmt formatCode="General" sourceLinked="1"/>
        <c:majorTickMark val="out"/>
        <c:minorTickMark val="none"/>
        <c:tickLblPos val="nextTo"/>
        <c:crossAx val="109553152"/>
        <c:crosses val="autoZero"/>
        <c:crossBetween val="midCat"/>
      </c:valAx>
      <c:valAx>
        <c:axId val="109553152"/>
        <c:scaling>
          <c:orientation val="minMax"/>
        </c:scaling>
        <c:delete val="0"/>
        <c:axPos val="l"/>
        <c:majorGridlines/>
        <c:numFmt formatCode="0.00" sourceLinked="1"/>
        <c:majorTickMark val="out"/>
        <c:minorTickMark val="none"/>
        <c:tickLblPos val="nextTo"/>
        <c:crossAx val="109551616"/>
        <c:crosses val="autoZero"/>
        <c:crossBetween val="midCat"/>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czeta_bkwd_3694s_2of5!$C$108:$C$112</c:f>
              <c:numCache>
                <c:formatCode>General</c:formatCode>
                <c:ptCount val="5"/>
                <c:pt idx="0">
                  <c:v>1</c:v>
                </c:pt>
                <c:pt idx="1">
                  <c:v>2</c:v>
                </c:pt>
                <c:pt idx="2">
                  <c:v>3</c:v>
                </c:pt>
                <c:pt idx="3">
                  <c:v>4</c:v>
                </c:pt>
                <c:pt idx="4">
                  <c:v>5</c:v>
                </c:pt>
              </c:numCache>
            </c:numRef>
          </c:xVal>
          <c:yVal>
            <c:numRef>
              <c:f>czeta_bkwd_3694s_2of5!$D$108:$D$112</c:f>
              <c:numCache>
                <c:formatCode>0.00</c:formatCode>
                <c:ptCount val="5"/>
                <c:pt idx="0">
                  <c:v>27</c:v>
                </c:pt>
                <c:pt idx="1">
                  <c:v>53.9</c:v>
                </c:pt>
                <c:pt idx="2">
                  <c:v>75.400000000000006</c:v>
                </c:pt>
                <c:pt idx="3">
                  <c:v>93.5</c:v>
                </c:pt>
                <c:pt idx="4">
                  <c:v>110.2</c:v>
                </c:pt>
              </c:numCache>
            </c:numRef>
          </c:yVal>
          <c:smooth val="0"/>
          <c:extLst>
            <c:ext xmlns:c16="http://schemas.microsoft.com/office/drawing/2014/chart" uri="{C3380CC4-5D6E-409C-BE32-E72D297353CC}">
              <c16:uniqueId val="{00000000-C354-4348-B41F-EC853CA96B59}"/>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czeta_bkwd_3694s_2of5!$H$134:$H$143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czeta_bkwd_3694s_2of5!$I$134:$I$143</c:f>
              <c:numCache>
                <c:formatCode>0.0</c:formatCode>
                <c:ptCount val="10"/>
                <c:pt idx="0">
                  <c:v>27.000000000000007</c:v>
                </c:pt>
                <c:pt idx="1">
                  <c:v>53.89999999999997</c:v>
                </c:pt>
                <c:pt idx="2">
                  <c:v>75.399999999999977</c:v>
                </c:pt>
                <c:pt idx="3">
                  <c:v>93.5</c:v>
                </c:pt>
                <c:pt idx="4">
                  <c:v>110.20000000000002</c:v>
                </c:pt>
                <c:pt idx="5">
                  <c:v>182.19571428571433</c:v>
                </c:pt>
                <c:pt idx="6">
                  <c:v>304.81714285714287</c:v>
                </c:pt>
                <c:pt idx="7">
                  <c:v>411.37428571428575</c:v>
                </c:pt>
                <c:pt idx="8">
                  <c:v>508.31714285714281</c:v>
                </c:pt>
                <c:pt idx="9">
                  <c:v>602.09571428571428</c:v>
                </c:pt>
              </c:numCache>
            </c:numRef>
          </c:yVal>
          <c:smooth val="0"/>
          <c:extLst>
            <c:ext xmlns:c16="http://schemas.microsoft.com/office/drawing/2014/chart" uri="{C3380CC4-5D6E-409C-BE32-E72D297353CC}">
              <c16:uniqueId val="{00000000-7030-4A37-8E55-E85F3D865E69}"/>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czeta_bkwd_3694s_2of5!$C$109:$C$113</c:f>
              <c:numCache>
                <c:formatCode>General</c:formatCode>
                <c:ptCount val="5"/>
                <c:pt idx="0">
                  <c:v>2</c:v>
                </c:pt>
                <c:pt idx="1">
                  <c:v>3</c:v>
                </c:pt>
                <c:pt idx="2">
                  <c:v>4</c:v>
                </c:pt>
                <c:pt idx="3">
                  <c:v>5</c:v>
                </c:pt>
                <c:pt idx="4">
                  <c:v>10</c:v>
                </c:pt>
              </c:numCache>
            </c:numRef>
          </c:xVal>
          <c:yVal>
            <c:numRef>
              <c:f>czeta_bkwd_3694s_2of5!$E$109:$E$113</c:f>
              <c:numCache>
                <c:formatCode>0.00</c:formatCode>
                <c:ptCount val="5"/>
                <c:pt idx="0">
                  <c:v>1.9962962962962962</c:v>
                </c:pt>
                <c:pt idx="1">
                  <c:v>1.3988868274582562</c:v>
                </c:pt>
                <c:pt idx="2">
                  <c:v>1.2400530503978779</c:v>
                </c:pt>
                <c:pt idx="3">
                  <c:v>1.1786096256684493</c:v>
                </c:pt>
                <c:pt idx="4">
                  <c:v>0.33067150635208709</c:v>
                </c:pt>
              </c:numCache>
            </c:numRef>
          </c:yVal>
          <c:smooth val="0"/>
          <c:extLst>
            <c:ext xmlns:c16="http://schemas.microsoft.com/office/drawing/2014/chart" uri="{C3380CC4-5D6E-409C-BE32-E72D297353CC}">
              <c16:uniqueId val="{00000000-CA5F-491B-AEF5-8BE292273A9C}"/>
            </c:ext>
          </c:extLst>
        </c:ser>
        <c:dLbls>
          <c:showLegendKey val="0"/>
          <c:showVal val="0"/>
          <c:showCatName val="0"/>
          <c:showSerName val="0"/>
          <c:showPercent val="0"/>
          <c:showBubbleSize val="0"/>
        </c:dLbls>
        <c:axId val="127532032"/>
        <c:axId val="127550208"/>
      </c:scatterChart>
      <c:valAx>
        <c:axId val="127532032"/>
        <c:scaling>
          <c:logBase val="10"/>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czeta_bkwd_3694s_2of5!$X$185:$X$194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czeta_bkwd_3694s_2of5!$Y$185:$Y$194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15F3-4BA6-AB43-63ECCBFB65CE}"/>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czeta_bkwd_3694s_3of5!$B$30:$B$39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czeta_bkwd_3694s_3of5!$C$30:$C$39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429D-41F5-B01B-007E81145E41}"/>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czeta_bkwd_3694s_3of5!$B$30:$B$39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czeta_bkwd_3694s_3of5!$D$30:$D$39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0E55-43FF-BD4A-ABD8841CD303}"/>
            </c:ext>
          </c:extLst>
        </c:ser>
        <c:dLbls>
          <c:showLegendKey val="0"/>
          <c:showVal val="0"/>
          <c:showCatName val="0"/>
          <c:showSerName val="0"/>
          <c:showPercent val="0"/>
          <c:showBubbleSize val="0"/>
        </c:dLbls>
        <c:axId val="127342848"/>
        <c:axId val="127344640"/>
      </c:scatterChart>
      <c:valAx>
        <c:axId val="127342848"/>
        <c:scaling>
          <c:logBase val="10"/>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czeta_bkwd_3694s_3of5!$C$134:$C$138</c:f>
              <c:numCache>
                <c:formatCode>General</c:formatCode>
                <c:ptCount val="5"/>
                <c:pt idx="0">
                  <c:v>1</c:v>
                </c:pt>
                <c:pt idx="1">
                  <c:v>2</c:v>
                </c:pt>
                <c:pt idx="2">
                  <c:v>3</c:v>
                </c:pt>
                <c:pt idx="3">
                  <c:v>4</c:v>
                </c:pt>
                <c:pt idx="4">
                  <c:v>5</c:v>
                </c:pt>
              </c:numCache>
            </c:numRef>
          </c:xVal>
          <c:yVal>
            <c:numRef>
              <c:f>czeta_bkwd_3694s_3of5!$D$134:$D$138</c:f>
              <c:numCache>
                <c:formatCode>General</c:formatCode>
                <c:ptCount val="5"/>
                <c:pt idx="0">
                  <c:v>30.5</c:v>
                </c:pt>
                <c:pt idx="1">
                  <c:v>59.7</c:v>
                </c:pt>
                <c:pt idx="2">
                  <c:v>81.95</c:v>
                </c:pt>
                <c:pt idx="3">
                  <c:v>99.5</c:v>
                </c:pt>
                <c:pt idx="4">
                  <c:v>115.35</c:v>
                </c:pt>
              </c:numCache>
            </c:numRef>
          </c:yVal>
          <c:smooth val="0"/>
          <c:extLst>
            <c:ext xmlns:c16="http://schemas.microsoft.com/office/drawing/2014/chart" uri="{C3380CC4-5D6E-409C-BE32-E72D297353CC}">
              <c16:uniqueId val="{00000001-8BE4-4EB8-B88D-5AF840B8A1B9}"/>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czeta_bkwd_3694s_3of5!$C$108:$C$112</c:f>
              <c:numCache>
                <c:formatCode>General</c:formatCode>
                <c:ptCount val="5"/>
                <c:pt idx="0">
                  <c:v>1</c:v>
                </c:pt>
                <c:pt idx="1">
                  <c:v>2</c:v>
                </c:pt>
                <c:pt idx="2">
                  <c:v>3</c:v>
                </c:pt>
                <c:pt idx="3">
                  <c:v>4</c:v>
                </c:pt>
                <c:pt idx="4">
                  <c:v>5</c:v>
                </c:pt>
              </c:numCache>
            </c:numRef>
          </c:xVal>
          <c:yVal>
            <c:numRef>
              <c:f>czeta_bkwd_3694s_3of5!$D$108:$D$112</c:f>
              <c:numCache>
                <c:formatCode>0.00</c:formatCode>
                <c:ptCount val="5"/>
                <c:pt idx="0">
                  <c:v>30.5</c:v>
                </c:pt>
                <c:pt idx="1">
                  <c:v>59.7</c:v>
                </c:pt>
                <c:pt idx="2">
                  <c:v>81.95</c:v>
                </c:pt>
                <c:pt idx="3">
                  <c:v>99.5</c:v>
                </c:pt>
                <c:pt idx="4">
                  <c:v>115.35</c:v>
                </c:pt>
              </c:numCache>
            </c:numRef>
          </c:yVal>
          <c:smooth val="0"/>
          <c:extLst>
            <c:ext xmlns:c16="http://schemas.microsoft.com/office/drawing/2014/chart" uri="{C3380CC4-5D6E-409C-BE32-E72D297353CC}">
              <c16:uniqueId val="{00000000-DD24-4A2D-B138-1AF42BD5FBC8}"/>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czeta_bkwd_3694s_3of5!$H$134:$H$143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czeta_bkwd_3694s_3of5!$I$134:$I$143</c:f>
              <c:numCache>
                <c:formatCode>0.0</c:formatCode>
                <c:ptCount val="10"/>
                <c:pt idx="0">
                  <c:v>30.489285714285728</c:v>
                </c:pt>
                <c:pt idx="1">
                  <c:v>59.742857142857105</c:v>
                </c:pt>
                <c:pt idx="2">
                  <c:v>81.885714285714272</c:v>
                </c:pt>
                <c:pt idx="3">
                  <c:v>99.542857142857173</c:v>
                </c:pt>
                <c:pt idx="4">
                  <c:v>115.33928571428575</c:v>
                </c:pt>
                <c:pt idx="5">
                  <c:v>184.54571428571435</c:v>
                </c:pt>
                <c:pt idx="6">
                  <c:v>306.41714285714289</c:v>
                </c:pt>
                <c:pt idx="7">
                  <c:v>411.92428571428576</c:v>
                </c:pt>
                <c:pt idx="8">
                  <c:v>508.11714285714288</c:v>
                </c:pt>
                <c:pt idx="9">
                  <c:v>602.04571428571421</c:v>
                </c:pt>
              </c:numCache>
            </c:numRef>
          </c:yVal>
          <c:smooth val="0"/>
          <c:extLst>
            <c:ext xmlns:c16="http://schemas.microsoft.com/office/drawing/2014/chart" uri="{C3380CC4-5D6E-409C-BE32-E72D297353CC}">
              <c16:uniqueId val="{00000000-55D1-49DB-9DD9-11A975D6384A}"/>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czeta_bkwd_3694s_3of5!$C$109:$C$113</c:f>
              <c:numCache>
                <c:formatCode>General</c:formatCode>
                <c:ptCount val="5"/>
                <c:pt idx="0">
                  <c:v>2</c:v>
                </c:pt>
                <c:pt idx="1">
                  <c:v>3</c:v>
                </c:pt>
                <c:pt idx="2">
                  <c:v>4</c:v>
                </c:pt>
                <c:pt idx="3">
                  <c:v>5</c:v>
                </c:pt>
                <c:pt idx="4">
                  <c:v>10</c:v>
                </c:pt>
              </c:numCache>
            </c:numRef>
          </c:xVal>
          <c:yVal>
            <c:numRef>
              <c:f>czeta_bkwd_3694s_3of5!$E$109:$E$113</c:f>
              <c:numCache>
                <c:formatCode>0.00</c:formatCode>
                <c:ptCount val="5"/>
                <c:pt idx="0">
                  <c:v>1.957377049180328</c:v>
                </c:pt>
                <c:pt idx="1">
                  <c:v>1.3726968174204355</c:v>
                </c:pt>
                <c:pt idx="2">
                  <c:v>1.2141549725442342</c:v>
                </c:pt>
                <c:pt idx="3">
                  <c:v>1.1592964824120602</c:v>
                </c:pt>
                <c:pt idx="4">
                  <c:v>0.31998266146510623</c:v>
                </c:pt>
              </c:numCache>
            </c:numRef>
          </c:yVal>
          <c:smooth val="0"/>
          <c:extLst>
            <c:ext xmlns:c16="http://schemas.microsoft.com/office/drawing/2014/chart" uri="{C3380CC4-5D6E-409C-BE32-E72D297353CC}">
              <c16:uniqueId val="{00000000-1631-4A62-8F11-E811B3B5FE2E}"/>
            </c:ext>
          </c:extLst>
        </c:ser>
        <c:dLbls>
          <c:showLegendKey val="0"/>
          <c:showVal val="0"/>
          <c:showCatName val="0"/>
          <c:showSerName val="0"/>
          <c:showPercent val="0"/>
          <c:showBubbleSize val="0"/>
        </c:dLbls>
        <c:axId val="127532032"/>
        <c:axId val="127550208"/>
      </c:scatterChart>
      <c:valAx>
        <c:axId val="127532032"/>
        <c:scaling>
          <c:logBase val="10"/>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7693056393685153"/>
                  <c:y val="-1.1591728173718363E-2"/>
                </c:manualLayout>
              </c:layout>
              <c:numFmt formatCode="#,##0.00000" sourceLinked="0"/>
              <c:txPr>
                <a:bodyPr/>
                <a:lstStyle/>
                <a:p>
                  <a:pPr>
                    <a:defRPr sz="1100"/>
                  </a:pPr>
                  <a:endParaRPr lang="en-US"/>
                </a:p>
              </c:txPr>
            </c:trendlineLbl>
          </c:trendline>
          <c:xVal>
            <c:numRef>
              <c:f>czeta_bkwd_3075s_trend_v2!$C$83:$C$87</c:f>
              <c:numCache>
                <c:formatCode>General</c:formatCode>
                <c:ptCount val="5"/>
                <c:pt idx="0">
                  <c:v>10</c:v>
                </c:pt>
                <c:pt idx="1">
                  <c:v>20</c:v>
                </c:pt>
                <c:pt idx="2">
                  <c:v>30</c:v>
                </c:pt>
                <c:pt idx="3">
                  <c:v>40</c:v>
                </c:pt>
                <c:pt idx="4">
                  <c:v>50</c:v>
                </c:pt>
              </c:numCache>
            </c:numRef>
          </c:xVal>
          <c:yVal>
            <c:numRef>
              <c:f>czeta_bkwd_3075s_trend_v2!$D$83:$D$87</c:f>
              <c:numCache>
                <c:formatCode>General</c:formatCode>
                <c:ptCount val="5"/>
                <c:pt idx="0">
                  <c:v>150.69999999999999</c:v>
                </c:pt>
                <c:pt idx="1">
                  <c:v>252.2</c:v>
                </c:pt>
                <c:pt idx="2">
                  <c:v>340.1</c:v>
                </c:pt>
                <c:pt idx="3">
                  <c:v>420.4</c:v>
                </c:pt>
                <c:pt idx="4">
                  <c:v>498</c:v>
                </c:pt>
              </c:numCache>
            </c:numRef>
          </c:yVal>
          <c:smooth val="0"/>
          <c:extLst>
            <c:ext xmlns:c16="http://schemas.microsoft.com/office/drawing/2014/chart" uri="{C3380CC4-5D6E-409C-BE32-E72D297353CC}">
              <c16:uniqueId val="{00000001-C29F-43C6-AAD0-6845EBA19BE2}"/>
            </c:ext>
          </c:extLst>
        </c:ser>
        <c:dLbls>
          <c:showLegendKey val="0"/>
          <c:showVal val="0"/>
          <c:showCatName val="0"/>
          <c:showSerName val="0"/>
          <c:showPercent val="0"/>
          <c:showBubbleSize val="0"/>
        </c:dLbls>
        <c:axId val="109573632"/>
        <c:axId val="109575168"/>
      </c:scatterChart>
      <c:valAx>
        <c:axId val="109573632"/>
        <c:scaling>
          <c:orientation val="minMax"/>
        </c:scaling>
        <c:delete val="0"/>
        <c:axPos val="b"/>
        <c:numFmt formatCode="General" sourceLinked="1"/>
        <c:majorTickMark val="out"/>
        <c:minorTickMark val="none"/>
        <c:tickLblPos val="nextTo"/>
        <c:crossAx val="109575168"/>
        <c:crosses val="autoZero"/>
        <c:crossBetween val="midCat"/>
      </c:valAx>
      <c:valAx>
        <c:axId val="109575168"/>
        <c:scaling>
          <c:orientation val="minMax"/>
        </c:scaling>
        <c:delete val="0"/>
        <c:axPos val="l"/>
        <c:majorGridlines/>
        <c:numFmt formatCode="General" sourceLinked="1"/>
        <c:majorTickMark val="out"/>
        <c:minorTickMark val="none"/>
        <c:tickLblPos val="nextTo"/>
        <c:crossAx val="109573632"/>
        <c:crosses val="autoZero"/>
        <c:crossBetween val="midCat"/>
      </c:valAx>
    </c:plotArea>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czeta_bkwd_3694s_3of5!$X$185:$X$194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czeta_bkwd_3694s_3of5!$Y$185:$Y$194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CE5B-460E-8415-A94A45AB76B9}"/>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czeta_bkwd_3694s_4of5!$B$30:$B$39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czeta_bkwd_3694s_4of5!$C$30:$C$39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E8D9-4C8A-8933-3CD8740C59AE}"/>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czeta_bkwd_3694s_4of5!$B$30:$B$39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czeta_bkwd_3694s_4of5!$D$30:$D$39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9D63-4FE4-935D-B07088D9E8B4}"/>
            </c:ext>
          </c:extLst>
        </c:ser>
        <c:dLbls>
          <c:showLegendKey val="0"/>
          <c:showVal val="0"/>
          <c:showCatName val="0"/>
          <c:showSerName val="0"/>
          <c:showPercent val="0"/>
          <c:showBubbleSize val="0"/>
        </c:dLbls>
        <c:axId val="127342848"/>
        <c:axId val="127344640"/>
      </c:scatterChart>
      <c:valAx>
        <c:axId val="127342848"/>
        <c:scaling>
          <c:logBase val="10"/>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czeta_bkwd_3694s_4of5!$C$134:$C$138</c:f>
              <c:numCache>
                <c:formatCode>General</c:formatCode>
                <c:ptCount val="5"/>
                <c:pt idx="0">
                  <c:v>1</c:v>
                </c:pt>
                <c:pt idx="1">
                  <c:v>2</c:v>
                </c:pt>
                <c:pt idx="2">
                  <c:v>3</c:v>
                </c:pt>
                <c:pt idx="3">
                  <c:v>4</c:v>
                </c:pt>
                <c:pt idx="4">
                  <c:v>5</c:v>
                </c:pt>
              </c:numCache>
            </c:numRef>
          </c:xVal>
          <c:yVal>
            <c:numRef>
              <c:f>czeta_bkwd_3694s_4of5!$D$134:$D$138</c:f>
              <c:numCache>
                <c:formatCode>General</c:formatCode>
                <c:ptCount val="5"/>
                <c:pt idx="0">
                  <c:v>34</c:v>
                </c:pt>
                <c:pt idx="1">
                  <c:v>65.5</c:v>
                </c:pt>
                <c:pt idx="2">
                  <c:v>88.5</c:v>
                </c:pt>
                <c:pt idx="3">
                  <c:v>105.5</c:v>
                </c:pt>
                <c:pt idx="4">
                  <c:v>120.5</c:v>
                </c:pt>
              </c:numCache>
            </c:numRef>
          </c:yVal>
          <c:smooth val="0"/>
          <c:extLst>
            <c:ext xmlns:c16="http://schemas.microsoft.com/office/drawing/2014/chart" uri="{C3380CC4-5D6E-409C-BE32-E72D297353CC}">
              <c16:uniqueId val="{00000001-A7C0-4D67-9736-00ED5DE533F3}"/>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czeta_bkwd_3694s_4of5!$C$108:$C$112</c:f>
              <c:numCache>
                <c:formatCode>General</c:formatCode>
                <c:ptCount val="5"/>
                <c:pt idx="0">
                  <c:v>1</c:v>
                </c:pt>
                <c:pt idx="1">
                  <c:v>2</c:v>
                </c:pt>
                <c:pt idx="2">
                  <c:v>3</c:v>
                </c:pt>
                <c:pt idx="3">
                  <c:v>4</c:v>
                </c:pt>
                <c:pt idx="4">
                  <c:v>5</c:v>
                </c:pt>
              </c:numCache>
            </c:numRef>
          </c:xVal>
          <c:yVal>
            <c:numRef>
              <c:f>czeta_bkwd_3694s_4of5!$D$108:$D$112</c:f>
              <c:numCache>
                <c:formatCode>0.00</c:formatCode>
                <c:ptCount val="5"/>
                <c:pt idx="0">
                  <c:v>34</c:v>
                </c:pt>
                <c:pt idx="1">
                  <c:v>65.5</c:v>
                </c:pt>
                <c:pt idx="2">
                  <c:v>88.5</c:v>
                </c:pt>
                <c:pt idx="3">
                  <c:v>105.5</c:v>
                </c:pt>
                <c:pt idx="4">
                  <c:v>120.5</c:v>
                </c:pt>
              </c:numCache>
            </c:numRef>
          </c:yVal>
          <c:smooth val="0"/>
          <c:extLst>
            <c:ext xmlns:c16="http://schemas.microsoft.com/office/drawing/2014/chart" uri="{C3380CC4-5D6E-409C-BE32-E72D297353CC}">
              <c16:uniqueId val="{00000000-8A73-4F1E-B09B-1F04CCE8D538}"/>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czeta_bkwd_3694s_4of5!$H$134:$H$143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czeta_bkwd_3694s_4of5!$I$134:$I$143</c:f>
              <c:numCache>
                <c:formatCode>0.0</c:formatCode>
                <c:ptCount val="10"/>
                <c:pt idx="0">
                  <c:v>33.978571428571442</c:v>
                </c:pt>
                <c:pt idx="1">
                  <c:v>65.585714285714261</c:v>
                </c:pt>
                <c:pt idx="2">
                  <c:v>88.371428571428538</c:v>
                </c:pt>
                <c:pt idx="3">
                  <c:v>105.58571428571432</c:v>
                </c:pt>
                <c:pt idx="4">
                  <c:v>120.47857142857148</c:v>
                </c:pt>
                <c:pt idx="5">
                  <c:v>186.84142857142859</c:v>
                </c:pt>
                <c:pt idx="6">
                  <c:v>307.93428571428575</c:v>
                </c:pt>
                <c:pt idx="7">
                  <c:v>412.44857142857143</c:v>
                </c:pt>
                <c:pt idx="8">
                  <c:v>507.93428571428569</c:v>
                </c:pt>
                <c:pt idx="9">
                  <c:v>601.94142857142856</c:v>
                </c:pt>
              </c:numCache>
            </c:numRef>
          </c:yVal>
          <c:smooth val="0"/>
          <c:extLst>
            <c:ext xmlns:c16="http://schemas.microsoft.com/office/drawing/2014/chart" uri="{C3380CC4-5D6E-409C-BE32-E72D297353CC}">
              <c16:uniqueId val="{00000000-7B85-4C5C-9645-EBFBEB81F138}"/>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czeta_bkwd_3694s_4of5!$C$109:$C$113</c:f>
              <c:numCache>
                <c:formatCode>General</c:formatCode>
                <c:ptCount val="5"/>
                <c:pt idx="0">
                  <c:v>2</c:v>
                </c:pt>
                <c:pt idx="1">
                  <c:v>3</c:v>
                </c:pt>
                <c:pt idx="2">
                  <c:v>4</c:v>
                </c:pt>
                <c:pt idx="3">
                  <c:v>5</c:v>
                </c:pt>
                <c:pt idx="4">
                  <c:v>10</c:v>
                </c:pt>
              </c:numCache>
            </c:numRef>
          </c:xVal>
          <c:yVal>
            <c:numRef>
              <c:f>czeta_bkwd_3694s_4of5!$E$109:$E$113</c:f>
              <c:numCache>
                <c:formatCode>0.00</c:formatCode>
                <c:ptCount val="5"/>
                <c:pt idx="0">
                  <c:v>1.9264705882352942</c:v>
                </c:pt>
                <c:pt idx="1">
                  <c:v>1.3511450381679388</c:v>
                </c:pt>
                <c:pt idx="2">
                  <c:v>1.192090395480226</c:v>
                </c:pt>
                <c:pt idx="3">
                  <c:v>1.1421800947867298</c:v>
                </c:pt>
                <c:pt idx="4">
                  <c:v>0.3100414937759336</c:v>
                </c:pt>
              </c:numCache>
            </c:numRef>
          </c:yVal>
          <c:smooth val="0"/>
          <c:extLst>
            <c:ext xmlns:c16="http://schemas.microsoft.com/office/drawing/2014/chart" uri="{C3380CC4-5D6E-409C-BE32-E72D297353CC}">
              <c16:uniqueId val="{00000000-ECDE-4DC6-A5F0-60865C34171C}"/>
            </c:ext>
          </c:extLst>
        </c:ser>
        <c:dLbls>
          <c:showLegendKey val="0"/>
          <c:showVal val="0"/>
          <c:showCatName val="0"/>
          <c:showSerName val="0"/>
          <c:showPercent val="0"/>
          <c:showBubbleSize val="0"/>
        </c:dLbls>
        <c:axId val="127532032"/>
        <c:axId val="127550208"/>
      </c:scatterChart>
      <c:valAx>
        <c:axId val="127532032"/>
        <c:scaling>
          <c:logBase val="10"/>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czeta_bkwd_3694s_4of5!$X$185:$X$194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czeta_bkwd_3694s_4of5!$Y$185:$Y$194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1CF3-4A46-94AD-25850E8100DB}"/>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czeta_bkwd_3694s_5of5!$B$30:$B$39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czeta_bkwd_3694s_5of5!$C$30:$C$39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BADA-4869-9A92-44A7EACE334D}"/>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czeta_bkwd_3694s_5of5!$B$30:$B$39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czeta_bkwd_3694s_5of5!$D$30:$D$39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CCCB-4478-AFEE-98EA599C5E70}"/>
            </c:ext>
          </c:extLst>
        </c:ser>
        <c:dLbls>
          <c:showLegendKey val="0"/>
          <c:showVal val="0"/>
          <c:showCatName val="0"/>
          <c:showSerName val="0"/>
          <c:showPercent val="0"/>
          <c:showBubbleSize val="0"/>
        </c:dLbls>
        <c:axId val="127342848"/>
        <c:axId val="127344640"/>
      </c:scatterChart>
      <c:valAx>
        <c:axId val="127342848"/>
        <c:scaling>
          <c:logBase val="10"/>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czeta_bkwd_3075s_trend_v2!$C$52:$C$57</c:f>
              <c:numCache>
                <c:formatCode>General</c:formatCode>
                <c:ptCount val="6"/>
                <c:pt idx="0">
                  <c:v>1</c:v>
                </c:pt>
                <c:pt idx="1">
                  <c:v>2</c:v>
                </c:pt>
                <c:pt idx="2">
                  <c:v>3</c:v>
                </c:pt>
                <c:pt idx="3">
                  <c:v>4</c:v>
                </c:pt>
                <c:pt idx="4">
                  <c:v>5</c:v>
                </c:pt>
                <c:pt idx="5">
                  <c:v>10</c:v>
                </c:pt>
              </c:numCache>
            </c:numRef>
          </c:xVal>
          <c:yVal>
            <c:numRef>
              <c:f>czeta_bkwd_3075s_trend_v2!$D$52:$D$57</c:f>
              <c:numCache>
                <c:formatCode>General</c:formatCode>
                <c:ptCount val="6"/>
                <c:pt idx="0">
                  <c:v>22.3</c:v>
                </c:pt>
                <c:pt idx="1">
                  <c:v>44.8</c:v>
                </c:pt>
                <c:pt idx="2">
                  <c:v>61.5</c:v>
                </c:pt>
                <c:pt idx="3">
                  <c:v>77.5</c:v>
                </c:pt>
                <c:pt idx="4">
                  <c:v>91.1</c:v>
                </c:pt>
                <c:pt idx="5">
                  <c:v>150.69999999999999</c:v>
                </c:pt>
              </c:numCache>
            </c:numRef>
          </c:yVal>
          <c:smooth val="0"/>
          <c:extLst>
            <c:ext xmlns:c16="http://schemas.microsoft.com/office/drawing/2014/chart" uri="{C3380CC4-5D6E-409C-BE32-E72D297353CC}">
              <c16:uniqueId val="{00000000-90C7-41C6-8A91-C3F602715A2A}"/>
            </c:ext>
          </c:extLst>
        </c:ser>
        <c:dLbls>
          <c:showLegendKey val="0"/>
          <c:showVal val="0"/>
          <c:showCatName val="0"/>
          <c:showSerName val="0"/>
          <c:showPercent val="0"/>
          <c:showBubbleSize val="0"/>
        </c:dLbls>
        <c:axId val="109590784"/>
        <c:axId val="109617152"/>
      </c:scatterChart>
      <c:valAx>
        <c:axId val="109590784"/>
        <c:scaling>
          <c:orientation val="minMax"/>
        </c:scaling>
        <c:delete val="0"/>
        <c:axPos val="b"/>
        <c:numFmt formatCode="General" sourceLinked="1"/>
        <c:majorTickMark val="out"/>
        <c:minorTickMark val="none"/>
        <c:tickLblPos val="nextTo"/>
        <c:crossAx val="109617152"/>
        <c:crosses val="autoZero"/>
        <c:crossBetween val="midCat"/>
      </c:valAx>
      <c:valAx>
        <c:axId val="109617152"/>
        <c:scaling>
          <c:orientation val="minMax"/>
        </c:scaling>
        <c:delete val="0"/>
        <c:axPos val="l"/>
        <c:majorGridlines/>
        <c:numFmt formatCode="General" sourceLinked="1"/>
        <c:majorTickMark val="out"/>
        <c:minorTickMark val="none"/>
        <c:tickLblPos val="nextTo"/>
        <c:crossAx val="109590784"/>
        <c:crosses val="autoZero"/>
        <c:crossBetween val="midCat"/>
      </c:valAx>
    </c:plotArea>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czeta_bkwd_3694s_5of5!$C$134:$C$138</c:f>
              <c:numCache>
                <c:formatCode>General</c:formatCode>
                <c:ptCount val="5"/>
                <c:pt idx="0">
                  <c:v>1</c:v>
                </c:pt>
                <c:pt idx="1">
                  <c:v>2</c:v>
                </c:pt>
                <c:pt idx="2">
                  <c:v>3</c:v>
                </c:pt>
                <c:pt idx="3">
                  <c:v>4</c:v>
                </c:pt>
                <c:pt idx="4">
                  <c:v>5</c:v>
                </c:pt>
              </c:numCache>
            </c:numRef>
          </c:xVal>
          <c:yVal>
            <c:numRef>
              <c:f>czeta_bkwd_3694s_5of5!$D$134:$D$138</c:f>
              <c:numCache>
                <c:formatCode>General</c:formatCode>
                <c:ptCount val="5"/>
                <c:pt idx="0">
                  <c:v>37.5</c:v>
                </c:pt>
                <c:pt idx="1">
                  <c:v>71.3</c:v>
                </c:pt>
                <c:pt idx="2">
                  <c:v>95.1</c:v>
                </c:pt>
                <c:pt idx="3">
                  <c:v>111.5</c:v>
                </c:pt>
                <c:pt idx="4">
                  <c:v>125.7</c:v>
                </c:pt>
              </c:numCache>
            </c:numRef>
          </c:yVal>
          <c:smooth val="0"/>
          <c:extLst>
            <c:ext xmlns:c16="http://schemas.microsoft.com/office/drawing/2014/chart" uri="{C3380CC4-5D6E-409C-BE32-E72D297353CC}">
              <c16:uniqueId val="{00000001-2C5B-4050-A08E-AE686BD22263}"/>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czeta_bkwd_3694s_5of5!$C$108:$C$112</c:f>
              <c:numCache>
                <c:formatCode>General</c:formatCode>
                <c:ptCount val="5"/>
                <c:pt idx="0">
                  <c:v>1</c:v>
                </c:pt>
                <c:pt idx="1">
                  <c:v>2</c:v>
                </c:pt>
                <c:pt idx="2">
                  <c:v>3</c:v>
                </c:pt>
                <c:pt idx="3">
                  <c:v>4</c:v>
                </c:pt>
                <c:pt idx="4">
                  <c:v>5</c:v>
                </c:pt>
              </c:numCache>
            </c:numRef>
          </c:xVal>
          <c:yVal>
            <c:numRef>
              <c:f>czeta_bkwd_3694s_5of5!$D$108:$D$112</c:f>
              <c:numCache>
                <c:formatCode>0.00</c:formatCode>
                <c:ptCount val="5"/>
                <c:pt idx="0">
                  <c:v>37.5</c:v>
                </c:pt>
                <c:pt idx="1">
                  <c:v>71.3</c:v>
                </c:pt>
                <c:pt idx="2">
                  <c:v>95.1</c:v>
                </c:pt>
                <c:pt idx="3">
                  <c:v>111.5</c:v>
                </c:pt>
                <c:pt idx="4">
                  <c:v>125.7</c:v>
                </c:pt>
              </c:numCache>
            </c:numRef>
          </c:yVal>
          <c:smooth val="0"/>
          <c:extLst>
            <c:ext xmlns:c16="http://schemas.microsoft.com/office/drawing/2014/chart" uri="{C3380CC4-5D6E-409C-BE32-E72D297353CC}">
              <c16:uniqueId val="{00000000-B26F-4B53-9909-861CE96306DA}"/>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czeta_bkwd_3694s_5of5!$H$134:$H$143</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czeta_bkwd_3694s_5of5!$I$134:$I$143</c:f>
              <c:numCache>
                <c:formatCode>0.0</c:formatCode>
                <c:ptCount val="10"/>
                <c:pt idx="0">
                  <c:v>37.46285714285716</c:v>
                </c:pt>
                <c:pt idx="1">
                  <c:v>71.448571428571384</c:v>
                </c:pt>
                <c:pt idx="2">
                  <c:v>94.877142857142829</c:v>
                </c:pt>
                <c:pt idx="3">
                  <c:v>111.64857142857146</c:v>
                </c:pt>
                <c:pt idx="4">
                  <c:v>125.66285714285716</c:v>
                </c:pt>
                <c:pt idx="5">
                  <c:v>189.29000000000002</c:v>
                </c:pt>
                <c:pt idx="6">
                  <c:v>309.6400000000001</c:v>
                </c:pt>
                <c:pt idx="7">
                  <c:v>413.04000000000008</c:v>
                </c:pt>
                <c:pt idx="8">
                  <c:v>507.74000000000007</c:v>
                </c:pt>
                <c:pt idx="9">
                  <c:v>601.9899999999999</c:v>
                </c:pt>
              </c:numCache>
            </c:numRef>
          </c:yVal>
          <c:smooth val="0"/>
          <c:extLst>
            <c:ext xmlns:c16="http://schemas.microsoft.com/office/drawing/2014/chart" uri="{C3380CC4-5D6E-409C-BE32-E72D297353CC}">
              <c16:uniqueId val="{00000000-0D77-4AD0-BED7-4E270C70F2FF}"/>
            </c:ext>
          </c:extLst>
        </c:ser>
        <c:dLbls>
          <c:showLegendKey val="0"/>
          <c:showVal val="0"/>
          <c:showCatName val="0"/>
          <c:showSerName val="0"/>
          <c:showPercent val="0"/>
          <c:showBubbleSize val="0"/>
        </c:dLbls>
        <c:axId val="127485440"/>
        <c:axId val="127486976"/>
      </c:scatterChart>
      <c:valAx>
        <c:axId val="127485440"/>
        <c:scaling>
          <c:orientation val="minMax"/>
        </c:scaling>
        <c:delete val="0"/>
        <c:axPos val="b"/>
        <c:numFmt formatCode="General" sourceLinked="1"/>
        <c:majorTickMark val="out"/>
        <c:minorTickMark val="none"/>
        <c:tickLblPos val="nextTo"/>
        <c:crossAx val="127486976"/>
        <c:crosses val="autoZero"/>
        <c:crossBetween val="midCat"/>
      </c:valAx>
      <c:valAx>
        <c:axId val="127486976"/>
        <c:scaling>
          <c:orientation val="minMax"/>
        </c:scaling>
        <c:delete val="0"/>
        <c:axPos val="l"/>
        <c:majorGridlines/>
        <c:numFmt formatCode="0.0" sourceLinked="1"/>
        <c:majorTickMark val="out"/>
        <c:minorTickMark val="none"/>
        <c:tickLblPos val="nextTo"/>
        <c:crossAx val="12748544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czeta_bkwd_3694s_5of5!$C$109:$C$113</c:f>
              <c:numCache>
                <c:formatCode>General</c:formatCode>
                <c:ptCount val="5"/>
                <c:pt idx="0">
                  <c:v>2</c:v>
                </c:pt>
                <c:pt idx="1">
                  <c:v>3</c:v>
                </c:pt>
                <c:pt idx="2">
                  <c:v>4</c:v>
                </c:pt>
                <c:pt idx="3">
                  <c:v>5</c:v>
                </c:pt>
                <c:pt idx="4">
                  <c:v>10</c:v>
                </c:pt>
              </c:numCache>
            </c:numRef>
          </c:xVal>
          <c:yVal>
            <c:numRef>
              <c:f>czeta_bkwd_3694s_5of5!$E$109:$E$113</c:f>
              <c:numCache>
                <c:formatCode>0.00</c:formatCode>
                <c:ptCount val="5"/>
                <c:pt idx="0">
                  <c:v>1.9013333333333333</c:v>
                </c:pt>
                <c:pt idx="1">
                  <c:v>1.3338008415147264</c:v>
                </c:pt>
                <c:pt idx="2">
                  <c:v>1.1724500525762356</c:v>
                </c:pt>
                <c:pt idx="3">
                  <c:v>1.1273542600896862</c:v>
                </c:pt>
                <c:pt idx="4">
                  <c:v>0.30119331742243438</c:v>
                </c:pt>
              </c:numCache>
            </c:numRef>
          </c:yVal>
          <c:smooth val="0"/>
          <c:extLst>
            <c:ext xmlns:c16="http://schemas.microsoft.com/office/drawing/2014/chart" uri="{C3380CC4-5D6E-409C-BE32-E72D297353CC}">
              <c16:uniqueId val="{00000000-15BC-4A93-845B-DCDD76333327}"/>
            </c:ext>
          </c:extLst>
        </c:ser>
        <c:dLbls>
          <c:showLegendKey val="0"/>
          <c:showVal val="0"/>
          <c:showCatName val="0"/>
          <c:showSerName val="0"/>
          <c:showPercent val="0"/>
          <c:showBubbleSize val="0"/>
        </c:dLbls>
        <c:axId val="127532032"/>
        <c:axId val="127550208"/>
      </c:scatterChart>
      <c:valAx>
        <c:axId val="127532032"/>
        <c:scaling>
          <c:logBase val="10"/>
          <c:orientation val="minMax"/>
        </c:scaling>
        <c:delete val="0"/>
        <c:axPos val="b"/>
        <c:numFmt formatCode="General" sourceLinked="1"/>
        <c:majorTickMark val="out"/>
        <c:minorTickMark val="none"/>
        <c:tickLblPos val="nextTo"/>
        <c:crossAx val="127550208"/>
        <c:crosses val="autoZero"/>
        <c:crossBetween val="midCat"/>
      </c:valAx>
      <c:valAx>
        <c:axId val="127550208"/>
        <c:scaling>
          <c:orientation val="minMax"/>
          <c:max val="2.5"/>
          <c:min val="0"/>
        </c:scaling>
        <c:delete val="0"/>
        <c:axPos val="l"/>
        <c:majorGridlines/>
        <c:numFmt formatCode="0.00" sourceLinked="1"/>
        <c:majorTickMark val="out"/>
        <c:minorTickMark val="none"/>
        <c:tickLblPos val="nextTo"/>
        <c:crossAx val="127532032"/>
        <c:crosses val="autoZero"/>
        <c:crossBetween val="midCat"/>
      </c:valAx>
    </c:plotArea>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czeta_bkwd_3694s_5of5!$X$185:$X$194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czeta_bkwd_3694s_5of5!$Y$185:$Y$194</c:f>
              <c:numCache>
                <c:formatCode>General</c:formatCode>
                <c:ptCount val="10"/>
                <c:pt idx="0">
                  <c:v>3.8</c:v>
                </c:pt>
                <c:pt idx="1">
                  <c:v>5.0999999999999996</c:v>
                </c:pt>
                <c:pt idx="2">
                  <c:v>6.2</c:v>
                </c:pt>
                <c:pt idx="3">
                  <c:v>7.1</c:v>
                </c:pt>
                <c:pt idx="4">
                  <c:v>8</c:v>
                </c:pt>
                <c:pt idx="5">
                  <c:v>10.199999999999999</c:v>
                </c:pt>
                <c:pt idx="6">
                  <c:v>11.8</c:v>
                </c:pt>
                <c:pt idx="7">
                  <c:v>12.4</c:v>
                </c:pt>
                <c:pt idx="8">
                  <c:v>12.9</c:v>
                </c:pt>
                <c:pt idx="9">
                  <c:v>13.4</c:v>
                </c:pt>
              </c:numCache>
            </c:numRef>
          </c:yVal>
          <c:smooth val="0"/>
          <c:extLst>
            <c:ext xmlns:c16="http://schemas.microsoft.com/office/drawing/2014/chart" uri="{C3380CC4-5D6E-409C-BE32-E72D297353CC}">
              <c16:uniqueId val="{00000000-A5F7-4881-8060-F14D677DB91D}"/>
            </c:ext>
          </c:extLst>
        </c:ser>
        <c:dLbls>
          <c:showLegendKey val="0"/>
          <c:showVal val="0"/>
          <c:showCatName val="0"/>
          <c:showSerName val="0"/>
          <c:showPercent val="0"/>
          <c:showBubbleSize val="0"/>
        </c:dLbls>
        <c:axId val="263525423"/>
        <c:axId val="263529167"/>
      </c:scatterChart>
      <c:valAx>
        <c:axId val="263525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9167"/>
        <c:crosses val="autoZero"/>
        <c:crossBetween val="midCat"/>
      </c:valAx>
      <c:valAx>
        <c:axId val="263529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3525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czeta_bkwd_3694s_5of5!$B$85:$B$94</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czeta_bkwd_3694s_5of5!$D$85:$D$94</c:f>
              <c:numCache>
                <c:formatCode>0.00</c:formatCode>
                <c:ptCount val="10"/>
                <c:pt idx="0">
                  <c:v>0.87037037037037035</c:v>
                </c:pt>
                <c:pt idx="1">
                  <c:v>0.89239332096474955</c:v>
                </c:pt>
                <c:pt idx="2">
                  <c:v>0.91379310344827591</c:v>
                </c:pt>
                <c:pt idx="3">
                  <c:v>0.93582887700534756</c:v>
                </c:pt>
                <c:pt idx="4">
                  <c:v>0.95372050816696907</c:v>
                </c:pt>
                <c:pt idx="5">
                  <c:v>0.98737650933040622</c:v>
                </c:pt>
                <c:pt idx="6">
                  <c:v>0.99475065616797897</c:v>
                </c:pt>
                <c:pt idx="7">
                  <c:v>0.99878463782207094</c:v>
                </c:pt>
                <c:pt idx="8">
                  <c:v>1.0003934684241589</c:v>
                </c:pt>
                <c:pt idx="9">
                  <c:v>1.0001660853678791</c:v>
                </c:pt>
              </c:numCache>
            </c:numRef>
          </c:yVal>
          <c:smooth val="0"/>
          <c:extLst>
            <c:ext xmlns:c16="http://schemas.microsoft.com/office/drawing/2014/chart" uri="{C3380CC4-5D6E-409C-BE32-E72D297353CC}">
              <c16:uniqueId val="{00000000-602E-43E4-8BF7-05EA2361036D}"/>
            </c:ext>
          </c:extLst>
        </c:ser>
        <c:dLbls>
          <c:showLegendKey val="0"/>
          <c:showVal val="0"/>
          <c:showCatName val="0"/>
          <c:showSerName val="0"/>
          <c:showPercent val="0"/>
          <c:showBubbleSize val="0"/>
        </c:dLbls>
        <c:axId val="1580544239"/>
        <c:axId val="1580550063"/>
      </c:scatterChart>
      <c:valAx>
        <c:axId val="158054423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0550063"/>
        <c:crosses val="autoZero"/>
        <c:crossBetween val="midCat"/>
      </c:valAx>
      <c:valAx>
        <c:axId val="15805500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05442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(3)'!$B$30:$B$39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(3)'!$C$30:$C$39</c:f>
              <c:numCache>
                <c:formatCode>0.00</c:formatCode>
                <c:ptCount val="10"/>
                <c:pt idx="0">
                  <c:v>2</c:v>
                </c:pt>
                <c:pt idx="1">
                  <c:v>4</c:v>
                </c:pt>
                <c:pt idx="2">
                  <c:v>5.9</c:v>
                </c:pt>
                <c:pt idx="3">
                  <c:v>7.7</c:v>
                </c:pt>
                <c:pt idx="4">
                  <c:v>9.5</c:v>
                </c:pt>
                <c:pt idx="5">
                  <c:v>13</c:v>
                </c:pt>
                <c:pt idx="6">
                  <c:v>15</c:v>
                </c:pt>
                <c:pt idx="7">
                  <c:v>15</c:v>
                </c:pt>
                <c:pt idx="8">
                  <c:v>15</c:v>
                </c:pt>
                <c:pt idx="9">
                  <c:v>15</c:v>
                </c:pt>
              </c:numCache>
            </c:numRef>
          </c:yVal>
          <c:smooth val="0"/>
          <c:extLst>
            <c:ext xmlns:c16="http://schemas.microsoft.com/office/drawing/2014/chart" uri="{C3380CC4-5D6E-409C-BE32-E72D297353CC}">
              <c16:uniqueId val="{00000000-469E-44B8-AD60-A2789EBDF516}"/>
            </c:ext>
          </c:extLst>
        </c:ser>
        <c:dLbls>
          <c:showLegendKey val="0"/>
          <c:showVal val="0"/>
          <c:showCatName val="0"/>
          <c:showSerName val="0"/>
          <c:showPercent val="0"/>
          <c:showBubbleSize val="0"/>
        </c:dLbls>
        <c:axId val="127702528"/>
        <c:axId val="127704064"/>
      </c:scatterChart>
      <c:valAx>
        <c:axId val="127702528"/>
        <c:scaling>
          <c:orientation val="minMax"/>
        </c:scaling>
        <c:delete val="0"/>
        <c:axPos val="b"/>
        <c:numFmt formatCode="General" sourceLinked="1"/>
        <c:majorTickMark val="out"/>
        <c:minorTickMark val="none"/>
        <c:tickLblPos val="nextTo"/>
        <c:crossAx val="127704064"/>
        <c:crosses val="autoZero"/>
        <c:crossBetween val="midCat"/>
      </c:valAx>
      <c:valAx>
        <c:axId val="127704064"/>
        <c:scaling>
          <c:orientation val="minMax"/>
        </c:scaling>
        <c:delete val="0"/>
        <c:axPos val="l"/>
        <c:majorGridlines/>
        <c:numFmt formatCode="0.00" sourceLinked="1"/>
        <c:majorTickMark val="out"/>
        <c:minorTickMark val="none"/>
        <c:tickLblPos val="nextTo"/>
        <c:crossAx val="127702528"/>
        <c:crosses val="autoZero"/>
        <c:crossBetween val="midCat"/>
      </c:valAx>
    </c:plotArea>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(3)'!$B$30:$B$39</c:f>
              <c:numCache>
                <c:formatCode>General</c:formatCode>
                <c:ptCount val="10"/>
                <c:pt idx="0">
                  <c:v>1</c:v>
                </c:pt>
                <c:pt idx="1">
                  <c:v>2</c:v>
                </c:pt>
                <c:pt idx="2">
                  <c:v>3</c:v>
                </c:pt>
                <c:pt idx="3">
                  <c:v>4</c:v>
                </c:pt>
                <c:pt idx="4">
                  <c:v>5</c:v>
                </c:pt>
                <c:pt idx="5">
                  <c:v>10</c:v>
                </c:pt>
                <c:pt idx="6">
                  <c:v>20</c:v>
                </c:pt>
                <c:pt idx="7">
                  <c:v>30</c:v>
                </c:pt>
                <c:pt idx="8">
                  <c:v>40</c:v>
                </c:pt>
                <c:pt idx="9">
                  <c:v>50</c:v>
                </c:pt>
              </c:numCache>
            </c:numRef>
          </c:xVal>
          <c:yVal>
            <c:numRef>
              <c:f>'czeta_bkwd_3694s_id14_g (3)'!$D$30:$D$39</c:f>
              <c:numCache>
                <c:formatCode>0.00</c:formatCode>
                <c:ptCount val="10"/>
                <c:pt idx="0">
                  <c:v>2.1</c:v>
                </c:pt>
                <c:pt idx="1">
                  <c:v>3</c:v>
                </c:pt>
                <c:pt idx="2">
                  <c:v>3.9</c:v>
                </c:pt>
                <c:pt idx="3">
                  <c:v>4.8499999999999996</c:v>
                </c:pt>
                <c:pt idx="4">
                  <c:v>5.8</c:v>
                </c:pt>
                <c:pt idx="5">
                  <c:v>10.4</c:v>
                </c:pt>
                <c:pt idx="6">
                  <c:v>15</c:v>
                </c:pt>
                <c:pt idx="7">
                  <c:v>15</c:v>
                </c:pt>
                <c:pt idx="8">
                  <c:v>15</c:v>
                </c:pt>
                <c:pt idx="9">
                  <c:v>15</c:v>
                </c:pt>
              </c:numCache>
            </c:numRef>
          </c:yVal>
          <c:smooth val="0"/>
          <c:extLst>
            <c:ext xmlns:c16="http://schemas.microsoft.com/office/drawing/2014/chart" uri="{C3380CC4-5D6E-409C-BE32-E72D297353CC}">
              <c16:uniqueId val="{00000000-673E-423A-8357-797CE53C9CA9}"/>
            </c:ext>
          </c:extLst>
        </c:ser>
        <c:dLbls>
          <c:showLegendKey val="0"/>
          <c:showVal val="0"/>
          <c:showCatName val="0"/>
          <c:showSerName val="0"/>
          <c:showPercent val="0"/>
          <c:showBubbleSize val="0"/>
        </c:dLbls>
        <c:axId val="127342848"/>
        <c:axId val="127344640"/>
      </c:scatterChart>
      <c:valAx>
        <c:axId val="127342848"/>
        <c:scaling>
          <c:orientation val="minMax"/>
        </c:scaling>
        <c:delete val="0"/>
        <c:axPos val="b"/>
        <c:numFmt formatCode="General" sourceLinked="1"/>
        <c:majorTickMark val="out"/>
        <c:minorTickMark val="none"/>
        <c:tickLblPos val="nextTo"/>
        <c:crossAx val="127344640"/>
        <c:crosses val="autoZero"/>
        <c:crossBetween val="midCat"/>
      </c:valAx>
      <c:valAx>
        <c:axId val="127344640"/>
        <c:scaling>
          <c:orientation val="minMax"/>
        </c:scaling>
        <c:delete val="0"/>
        <c:axPos val="l"/>
        <c:majorGridlines/>
        <c:numFmt formatCode="0.00" sourceLinked="1"/>
        <c:majorTickMark val="out"/>
        <c:minorTickMark val="none"/>
        <c:tickLblPos val="nextTo"/>
        <c:crossAx val="127342848"/>
        <c:crosses val="autoZero"/>
        <c:crossBetween val="midCat"/>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rendline>
            <c:trendlineType val="poly"/>
            <c:order val="3"/>
            <c:dispRSqr val="1"/>
            <c:dispEq val="1"/>
            <c:trendlineLbl>
              <c:layout>
                <c:manualLayout>
                  <c:x val="-0.16819235567514909"/>
                  <c:y val="-3.9199520918347733E-2"/>
                </c:manualLayout>
              </c:layout>
              <c:numFmt formatCode="#,##0.00000" sourceLinked="0"/>
              <c:txPr>
                <a:bodyPr/>
                <a:lstStyle/>
                <a:p>
                  <a:pPr>
                    <a:defRPr sz="1100"/>
                  </a:pPr>
                  <a:endParaRPr lang="en-US"/>
                </a:p>
              </c:txPr>
            </c:trendlineLbl>
          </c:trendline>
          <c:xVal>
            <c:numRef>
              <c:f>'czeta_bkwd_3694s_id14_g (3)'!$C$134:$C$138</c:f>
              <c:numCache>
                <c:formatCode>General</c:formatCode>
                <c:ptCount val="5"/>
                <c:pt idx="0">
                  <c:v>1</c:v>
                </c:pt>
                <c:pt idx="1">
                  <c:v>2</c:v>
                </c:pt>
                <c:pt idx="2">
                  <c:v>3</c:v>
                </c:pt>
                <c:pt idx="3">
                  <c:v>4</c:v>
                </c:pt>
                <c:pt idx="4">
                  <c:v>5</c:v>
                </c:pt>
              </c:numCache>
            </c:numRef>
          </c:xVal>
          <c:yVal>
            <c:numRef>
              <c:f>'czeta_bkwd_3694s_id14_g (3)'!$D$134:$D$138</c:f>
              <c:numCache>
                <c:formatCode>General</c:formatCode>
                <c:ptCount val="5"/>
                <c:pt idx="0">
                  <c:v>32</c:v>
                </c:pt>
                <c:pt idx="1">
                  <c:v>65.5</c:v>
                </c:pt>
                <c:pt idx="2">
                  <c:v>88.5</c:v>
                </c:pt>
                <c:pt idx="3">
                  <c:v>105.5</c:v>
                </c:pt>
                <c:pt idx="4">
                  <c:v>120.5</c:v>
                </c:pt>
              </c:numCache>
            </c:numRef>
          </c:yVal>
          <c:smooth val="0"/>
          <c:extLst>
            <c:ext xmlns:c16="http://schemas.microsoft.com/office/drawing/2014/chart" uri="{C3380CC4-5D6E-409C-BE32-E72D297353CC}">
              <c16:uniqueId val="{00000001-7C0A-4D0F-9AB4-A3BEA7B3A71B}"/>
            </c:ext>
          </c:extLst>
        </c:ser>
        <c:dLbls>
          <c:showLegendKey val="0"/>
          <c:showVal val="0"/>
          <c:showCatName val="0"/>
          <c:showSerName val="0"/>
          <c:showPercent val="0"/>
          <c:showBubbleSize val="0"/>
        </c:dLbls>
        <c:axId val="127365120"/>
        <c:axId val="127366656"/>
      </c:scatterChart>
      <c:valAx>
        <c:axId val="127365120"/>
        <c:scaling>
          <c:orientation val="minMax"/>
        </c:scaling>
        <c:delete val="0"/>
        <c:axPos val="b"/>
        <c:numFmt formatCode="General" sourceLinked="1"/>
        <c:majorTickMark val="out"/>
        <c:minorTickMark val="none"/>
        <c:tickLblPos val="nextTo"/>
        <c:crossAx val="127366656"/>
        <c:crosses val="autoZero"/>
        <c:crossBetween val="midCat"/>
      </c:valAx>
      <c:valAx>
        <c:axId val="127366656"/>
        <c:scaling>
          <c:orientation val="minMax"/>
        </c:scaling>
        <c:delete val="0"/>
        <c:axPos val="l"/>
        <c:majorGridlines/>
        <c:numFmt formatCode="General" sourceLinked="1"/>
        <c:majorTickMark val="out"/>
        <c:minorTickMark val="none"/>
        <c:tickLblPos val="nextTo"/>
        <c:crossAx val="127365120"/>
        <c:crosses val="autoZero"/>
        <c:crossBetween val="midCat"/>
      </c:valAx>
    </c:plotArea>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numRef>
              <c:f>'czeta_bkwd_3694s_id14_g (3)'!$C$108:$C$112</c:f>
              <c:numCache>
                <c:formatCode>General</c:formatCode>
                <c:ptCount val="5"/>
                <c:pt idx="0">
                  <c:v>1</c:v>
                </c:pt>
                <c:pt idx="1">
                  <c:v>2</c:v>
                </c:pt>
                <c:pt idx="2">
                  <c:v>3</c:v>
                </c:pt>
                <c:pt idx="3">
                  <c:v>4</c:v>
                </c:pt>
                <c:pt idx="4">
                  <c:v>5</c:v>
                </c:pt>
              </c:numCache>
            </c:numRef>
          </c:xVal>
          <c:yVal>
            <c:numRef>
              <c:f>'czeta_bkwd_3694s_id14_g (3)'!$D$108:$D$112</c:f>
              <c:numCache>
                <c:formatCode>0.00</c:formatCode>
                <c:ptCount val="5"/>
                <c:pt idx="0">
                  <c:v>32</c:v>
                </c:pt>
                <c:pt idx="1">
                  <c:v>65.5</c:v>
                </c:pt>
                <c:pt idx="2">
                  <c:v>88.5</c:v>
                </c:pt>
                <c:pt idx="3">
                  <c:v>105.5</c:v>
                </c:pt>
                <c:pt idx="4">
                  <c:v>120.5</c:v>
                </c:pt>
              </c:numCache>
            </c:numRef>
          </c:yVal>
          <c:smooth val="0"/>
          <c:extLst>
            <c:ext xmlns:c16="http://schemas.microsoft.com/office/drawing/2014/chart" uri="{C3380CC4-5D6E-409C-BE32-E72D297353CC}">
              <c16:uniqueId val="{00000000-6F71-43AB-BA3B-A21DDBEE209A}"/>
            </c:ext>
          </c:extLst>
        </c:ser>
        <c:dLbls>
          <c:showLegendKey val="0"/>
          <c:showVal val="0"/>
          <c:showCatName val="0"/>
          <c:showSerName val="0"/>
          <c:showPercent val="0"/>
          <c:showBubbleSize val="0"/>
        </c:dLbls>
        <c:axId val="127472384"/>
        <c:axId val="127473920"/>
      </c:scatterChart>
      <c:valAx>
        <c:axId val="127472384"/>
        <c:scaling>
          <c:orientation val="minMax"/>
        </c:scaling>
        <c:delete val="0"/>
        <c:axPos val="b"/>
        <c:numFmt formatCode="General" sourceLinked="1"/>
        <c:majorTickMark val="out"/>
        <c:minorTickMark val="none"/>
        <c:tickLblPos val="nextTo"/>
        <c:crossAx val="127473920"/>
        <c:crosses val="autoZero"/>
        <c:crossBetween val="midCat"/>
      </c:valAx>
      <c:valAx>
        <c:axId val="127473920"/>
        <c:scaling>
          <c:orientation val="minMax"/>
        </c:scaling>
        <c:delete val="0"/>
        <c:axPos val="l"/>
        <c:majorGridlines/>
        <c:numFmt formatCode="0.00" sourceLinked="1"/>
        <c:majorTickMark val="out"/>
        <c:minorTickMark val="none"/>
        <c:tickLblPos val="nextTo"/>
        <c:crossAx val="127472384"/>
        <c:crosses val="autoZero"/>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2.xml"/><Relationship Id="rId7" Type="http://schemas.openxmlformats.org/officeDocument/2006/relationships/chart" Target="../charts/chart66.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95.xml"/><Relationship Id="rId3" Type="http://schemas.openxmlformats.org/officeDocument/2006/relationships/chart" Target="../charts/chart90.xml"/><Relationship Id="rId7" Type="http://schemas.openxmlformats.org/officeDocument/2006/relationships/chart" Target="../charts/chart94.xml"/><Relationship Id="rId2" Type="http://schemas.openxmlformats.org/officeDocument/2006/relationships/chart" Target="../charts/chart89.xml"/><Relationship Id="rId1" Type="http://schemas.openxmlformats.org/officeDocument/2006/relationships/chart" Target="../charts/chart88.xml"/><Relationship Id="rId6" Type="http://schemas.openxmlformats.org/officeDocument/2006/relationships/chart" Target="../charts/chart93.xml"/><Relationship Id="rId5" Type="http://schemas.openxmlformats.org/officeDocument/2006/relationships/chart" Target="../charts/chart92.xml"/><Relationship Id="rId4" Type="http://schemas.openxmlformats.org/officeDocument/2006/relationships/chart" Target="../charts/chart9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8.xml"/><Relationship Id="rId7" Type="http://schemas.openxmlformats.org/officeDocument/2006/relationships/chart" Target="../charts/chart102.xml"/><Relationship Id="rId2" Type="http://schemas.openxmlformats.org/officeDocument/2006/relationships/chart" Target="../charts/chart97.xml"/><Relationship Id="rId1" Type="http://schemas.openxmlformats.org/officeDocument/2006/relationships/chart" Target="../charts/chart96.xml"/><Relationship Id="rId6" Type="http://schemas.openxmlformats.org/officeDocument/2006/relationships/chart" Target="../charts/chart101.xml"/><Relationship Id="rId5" Type="http://schemas.openxmlformats.org/officeDocument/2006/relationships/chart" Target="../charts/chart100.xml"/><Relationship Id="rId4" Type="http://schemas.openxmlformats.org/officeDocument/2006/relationships/chart" Target="../charts/chart9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 Id="rId6" Type="http://schemas.openxmlformats.org/officeDocument/2006/relationships/chart" Target="../charts/chart108.xml"/><Relationship Id="rId5" Type="http://schemas.openxmlformats.org/officeDocument/2006/relationships/chart" Target="../charts/chart107.xml"/><Relationship Id="rId4" Type="http://schemas.openxmlformats.org/officeDocument/2006/relationships/chart" Target="../charts/chart10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6" Type="http://schemas.openxmlformats.org/officeDocument/2006/relationships/chart" Target="../charts/chart114.xml"/><Relationship Id="rId5" Type="http://schemas.openxmlformats.org/officeDocument/2006/relationships/chart" Target="../charts/chart113.xml"/><Relationship Id="rId4" Type="http://schemas.openxmlformats.org/officeDocument/2006/relationships/chart" Target="../charts/chart11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5" Type="http://schemas.openxmlformats.org/officeDocument/2006/relationships/chart" Target="../charts/chart125.xml"/><Relationship Id="rId4" Type="http://schemas.openxmlformats.org/officeDocument/2006/relationships/chart" Target="../charts/chart12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image" Target="../media/image1.png"/><Relationship Id="rId5" Type="http://schemas.openxmlformats.org/officeDocument/2006/relationships/chart" Target="../charts/chart130.xml"/><Relationship Id="rId4" Type="http://schemas.openxmlformats.org/officeDocument/2006/relationships/chart" Target="../charts/chart12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6.xml"/><Relationship Id="rId7" Type="http://schemas.openxmlformats.org/officeDocument/2006/relationships/chart" Target="../charts/chart40.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275169</xdr:colOff>
      <xdr:row>32</xdr:row>
      <xdr:rowOff>84667</xdr:rowOff>
    </xdr:from>
    <xdr:to>
      <xdr:col>18</xdr:col>
      <xdr:colOff>137584</xdr:colOff>
      <xdr:row>42</xdr:row>
      <xdr:rowOff>8467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218806</xdr:colOff>
      <xdr:row>65</xdr:row>
      <xdr:rowOff>52919</xdr:rowOff>
    </xdr:from>
    <xdr:to>
      <xdr:col>18</xdr:col>
      <xdr:colOff>326461</xdr:colOff>
      <xdr:row>75</xdr:row>
      <xdr:rowOff>181750</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79373</xdr:colOff>
      <xdr:row>48</xdr:row>
      <xdr:rowOff>20107</xdr:rowOff>
    </xdr:from>
    <xdr:to>
      <xdr:col>12</xdr:col>
      <xdr:colOff>137583</xdr:colOff>
      <xdr:row>62</xdr:row>
      <xdr:rowOff>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236153</xdr:colOff>
      <xdr:row>76</xdr:row>
      <xdr:rowOff>43808</xdr:rowOff>
    </xdr:from>
    <xdr:to>
      <xdr:col>18</xdr:col>
      <xdr:colOff>344819</xdr:colOff>
      <xdr:row>87</xdr:row>
      <xdr:rowOff>117892</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167</xdr:row>
      <xdr:rowOff>31750</xdr:rowOff>
    </xdr:from>
    <xdr:to>
      <xdr:col>7</xdr:col>
      <xdr:colOff>391583</xdr:colOff>
      <xdr:row>168</xdr:row>
      <xdr:rowOff>10583</xdr:rowOff>
    </xdr:to>
    <xdr:cxnSp macro="">
      <xdr:nvCxnSpPr>
        <xdr:cNvPr id="7" name="Straight Arrow Connector 6">
          <a:extLst>
            <a:ext uri="{FF2B5EF4-FFF2-40B4-BE49-F238E27FC236}">
              <a16:creationId xmlns:a16="http://schemas.microsoft.com/office/drawing/2014/main" id="{00000000-0008-0000-0000-000007000000}"/>
            </a:ext>
          </a:extLst>
        </xdr:cNvPr>
        <xdr:cNvCxnSpPr/>
      </xdr:nvCxnSpPr>
      <xdr:spPr>
        <a:xfrm flipV="1">
          <a:off x="5249333" y="29721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167</xdr:row>
      <xdr:rowOff>142506</xdr:rowOff>
    </xdr:from>
    <xdr:to>
      <xdr:col>9</xdr:col>
      <xdr:colOff>368496</xdr:colOff>
      <xdr:row>168</xdr:row>
      <xdr:rowOff>163672</xdr:rowOff>
    </xdr:to>
    <xdr:cxnSp macro="">
      <xdr:nvCxnSpPr>
        <xdr:cNvPr id="8" name="Straight Arrow Connector 7">
          <a:extLst>
            <a:ext uri="{FF2B5EF4-FFF2-40B4-BE49-F238E27FC236}">
              <a16:creationId xmlns:a16="http://schemas.microsoft.com/office/drawing/2014/main" id="{00000000-0008-0000-0000-000008000000}"/>
            </a:ext>
          </a:extLst>
        </xdr:cNvPr>
        <xdr:cNvCxnSpPr/>
      </xdr:nvCxnSpPr>
      <xdr:spPr>
        <a:xfrm>
          <a:off x="6635946" y="298319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9" name="Straight Arrow Connector 8">
          <a:extLst>
            <a:ext uri="{FF2B5EF4-FFF2-40B4-BE49-F238E27FC236}">
              <a16:creationId xmlns:a16="http://schemas.microsoft.com/office/drawing/2014/main" id="{00000000-0008-0000-0000-000009000000}"/>
            </a:ext>
          </a:extLst>
        </xdr:cNvPr>
        <xdr:cNvCxnSpPr/>
      </xdr:nvCxnSpPr>
      <xdr:spPr>
        <a:xfrm>
          <a:off x="2421762" y="255941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197</xdr:row>
      <xdr:rowOff>31750</xdr:rowOff>
    </xdr:from>
    <xdr:to>
      <xdr:col>7</xdr:col>
      <xdr:colOff>391583</xdr:colOff>
      <xdr:row>198</xdr:row>
      <xdr:rowOff>10583</xdr:rowOff>
    </xdr:to>
    <xdr:cxnSp macro="">
      <xdr:nvCxnSpPr>
        <xdr:cNvPr id="10" name="Straight Arrow Connector 9">
          <a:extLst>
            <a:ext uri="{FF2B5EF4-FFF2-40B4-BE49-F238E27FC236}">
              <a16:creationId xmlns:a16="http://schemas.microsoft.com/office/drawing/2014/main" id="{00000000-0008-0000-0000-00000A000000}"/>
            </a:ext>
          </a:extLst>
        </xdr:cNvPr>
        <xdr:cNvCxnSpPr/>
      </xdr:nvCxnSpPr>
      <xdr:spPr>
        <a:xfrm flipV="1">
          <a:off x="5249333" y="34293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197</xdr:row>
      <xdr:rowOff>120355</xdr:rowOff>
    </xdr:from>
    <xdr:to>
      <xdr:col>9</xdr:col>
      <xdr:colOff>346345</xdr:colOff>
      <xdr:row>198</xdr:row>
      <xdr:rowOff>141522</xdr:rowOff>
    </xdr:to>
    <xdr:cxnSp macro="">
      <xdr:nvCxnSpPr>
        <xdr:cNvPr id="11" name="Straight Arrow Connector 10">
          <a:extLst>
            <a:ext uri="{FF2B5EF4-FFF2-40B4-BE49-F238E27FC236}">
              <a16:creationId xmlns:a16="http://schemas.microsoft.com/office/drawing/2014/main" id="{00000000-0008-0000-0000-00000B000000}"/>
            </a:ext>
          </a:extLst>
        </xdr:cNvPr>
        <xdr:cNvCxnSpPr/>
      </xdr:nvCxnSpPr>
      <xdr:spPr>
        <a:xfrm>
          <a:off x="6613795" y="343817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a:off x="5500135" y="14553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61</xdr:row>
      <xdr:rowOff>88605</xdr:rowOff>
    </xdr:from>
    <xdr:to>
      <xdr:col>1</xdr:col>
      <xdr:colOff>587006</xdr:colOff>
      <xdr:row>62</xdr:row>
      <xdr:rowOff>88605</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975094" y="111376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61</xdr:row>
      <xdr:rowOff>143983</xdr:rowOff>
    </xdr:from>
    <xdr:to>
      <xdr:col>3</xdr:col>
      <xdr:colOff>343343</xdr:colOff>
      <xdr:row>62</xdr:row>
      <xdr:rowOff>99680</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2118981" y="111929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123</xdr:row>
      <xdr:rowOff>2</xdr:rowOff>
    </xdr:from>
    <xdr:to>
      <xdr:col>14</xdr:col>
      <xdr:colOff>354417</xdr:colOff>
      <xdr:row>124</xdr:row>
      <xdr:rowOff>11078</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flipV="1">
          <a:off x="10174692" y="2171700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123</xdr:row>
      <xdr:rowOff>1</xdr:rowOff>
    </xdr:from>
    <xdr:to>
      <xdr:col>8</xdr:col>
      <xdr:colOff>387645</xdr:colOff>
      <xdr:row>124</xdr:row>
      <xdr:rowOff>11076</xdr:rowOff>
    </xdr:to>
    <xdr:cxnSp macro="">
      <xdr:nvCxnSpPr>
        <xdr:cNvPr id="16" name="Straight Arrow Connector 15">
          <a:extLst>
            <a:ext uri="{FF2B5EF4-FFF2-40B4-BE49-F238E27FC236}">
              <a16:creationId xmlns:a16="http://schemas.microsoft.com/office/drawing/2014/main" id="{00000000-0008-0000-0000-000010000000}"/>
            </a:ext>
          </a:extLst>
        </xdr:cNvPr>
        <xdr:cNvCxnSpPr/>
      </xdr:nvCxnSpPr>
      <xdr:spPr>
        <a:xfrm>
          <a:off x="5950245" y="2171700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123</xdr:row>
      <xdr:rowOff>1</xdr:rowOff>
    </xdr:from>
    <xdr:to>
      <xdr:col>14</xdr:col>
      <xdr:colOff>343343</xdr:colOff>
      <xdr:row>123</xdr:row>
      <xdr:rowOff>1</xdr:rowOff>
    </xdr:to>
    <xdr:cxnSp macro="">
      <xdr:nvCxnSpPr>
        <xdr:cNvPr id="17" name="Straight Connector 16">
          <a:extLst>
            <a:ext uri="{FF2B5EF4-FFF2-40B4-BE49-F238E27FC236}">
              <a16:creationId xmlns:a16="http://schemas.microsoft.com/office/drawing/2014/main" id="{00000000-0008-0000-0000-000011000000}"/>
            </a:ext>
          </a:extLst>
        </xdr:cNvPr>
        <xdr:cNvCxnSpPr/>
      </xdr:nvCxnSpPr>
      <xdr:spPr>
        <a:xfrm>
          <a:off x="5961321" y="2171700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124</xdr:row>
      <xdr:rowOff>19495</xdr:rowOff>
    </xdr:from>
    <xdr:to>
      <xdr:col>3</xdr:col>
      <xdr:colOff>351761</xdr:colOff>
      <xdr:row>124</xdr:row>
      <xdr:rowOff>184087</xdr:rowOff>
    </xdr:to>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a:off x="2371061" y="219269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2421762" y="26165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145</xdr:row>
      <xdr:rowOff>11086</xdr:rowOff>
    </xdr:from>
    <xdr:to>
      <xdr:col>5</xdr:col>
      <xdr:colOff>354419</xdr:colOff>
      <xdr:row>145</xdr:row>
      <xdr:rowOff>148246</xdr:rowOff>
    </xdr:to>
    <xdr:cxnSp macro="">
      <xdr:nvCxnSpPr>
        <xdr:cNvPr id="21" name="Straight Arrow Connector 20">
          <a:extLst>
            <a:ext uri="{FF2B5EF4-FFF2-40B4-BE49-F238E27FC236}">
              <a16:creationId xmlns:a16="http://schemas.microsoft.com/office/drawing/2014/main" id="{00000000-0008-0000-0000-000015000000}"/>
            </a:ext>
          </a:extLst>
        </xdr:cNvPr>
        <xdr:cNvCxnSpPr/>
      </xdr:nvCxnSpPr>
      <xdr:spPr>
        <a:xfrm flipV="1">
          <a:off x="3792944" y="26081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145</xdr:row>
      <xdr:rowOff>22156</xdr:rowOff>
    </xdr:from>
    <xdr:to>
      <xdr:col>6</xdr:col>
      <xdr:colOff>376570</xdr:colOff>
      <xdr:row>145</xdr:row>
      <xdr:rowOff>159316</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a:off x="4519945" y="26092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159</xdr:row>
      <xdr:rowOff>0</xdr:rowOff>
    </xdr:from>
    <xdr:to>
      <xdr:col>17</xdr:col>
      <xdr:colOff>365495</xdr:colOff>
      <xdr:row>159</xdr:row>
      <xdr:rowOff>0</xdr:rowOff>
    </xdr:to>
    <xdr:cxnSp macro="">
      <xdr:nvCxnSpPr>
        <xdr:cNvPr id="23" name="Straight Connector 22">
          <a:extLst>
            <a:ext uri="{FF2B5EF4-FFF2-40B4-BE49-F238E27FC236}">
              <a16:creationId xmlns:a16="http://schemas.microsoft.com/office/drawing/2014/main" id="{00000000-0008-0000-0000-000017000000}"/>
            </a:ext>
          </a:extLst>
        </xdr:cNvPr>
        <xdr:cNvCxnSpPr/>
      </xdr:nvCxnSpPr>
      <xdr:spPr>
        <a:xfrm>
          <a:off x="3792944" y="28736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158</xdr:row>
      <xdr:rowOff>44313</xdr:rowOff>
    </xdr:from>
    <xdr:to>
      <xdr:col>5</xdr:col>
      <xdr:colOff>354419</xdr:colOff>
      <xdr:row>158</xdr:row>
      <xdr:rowOff>181473</xdr:rowOff>
    </xdr:to>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flipV="1">
          <a:off x="3792944" y="28590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158</xdr:row>
      <xdr:rowOff>55379</xdr:rowOff>
    </xdr:from>
    <xdr:to>
      <xdr:col>17</xdr:col>
      <xdr:colOff>387646</xdr:colOff>
      <xdr:row>159</xdr:row>
      <xdr:rowOff>4254</xdr:rowOff>
    </xdr:to>
    <xdr:cxnSp macro="">
      <xdr:nvCxnSpPr>
        <xdr:cNvPr id="25" name="Straight Arrow Connector 24">
          <a:extLst>
            <a:ext uri="{FF2B5EF4-FFF2-40B4-BE49-F238E27FC236}">
              <a16:creationId xmlns:a16="http://schemas.microsoft.com/office/drawing/2014/main" id="{00000000-0008-0000-0000-000019000000}"/>
            </a:ext>
          </a:extLst>
        </xdr:cNvPr>
        <xdr:cNvCxnSpPr/>
      </xdr:nvCxnSpPr>
      <xdr:spPr>
        <a:xfrm>
          <a:off x="12417721" y="28601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531628</xdr:colOff>
      <xdr:row>77</xdr:row>
      <xdr:rowOff>33227</xdr:rowOff>
    </xdr:from>
    <xdr:to>
      <xdr:col>1</xdr:col>
      <xdr:colOff>641356</xdr:colOff>
      <xdr:row>82</xdr:row>
      <xdr:rowOff>97643</xdr:rowOff>
    </xdr:to>
    <xdr:sp macro="" textlink="">
      <xdr:nvSpPr>
        <xdr:cNvPr id="26" name="Left Brace 25">
          <a:extLst>
            <a:ext uri="{FF2B5EF4-FFF2-40B4-BE49-F238E27FC236}">
              <a16:creationId xmlns:a16="http://schemas.microsoft.com/office/drawing/2014/main" id="{00000000-0008-0000-0000-00001A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27" name="Left Brace 26">
          <a:extLst>
            <a:ext uri="{FF2B5EF4-FFF2-40B4-BE49-F238E27FC236}">
              <a16:creationId xmlns:a16="http://schemas.microsoft.com/office/drawing/2014/main" id="{00000000-0008-0000-0000-00001B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531628</xdr:colOff>
      <xdr:row>77</xdr:row>
      <xdr:rowOff>33227</xdr:rowOff>
    </xdr:from>
    <xdr:to>
      <xdr:col>1</xdr:col>
      <xdr:colOff>641356</xdr:colOff>
      <xdr:row>82</xdr:row>
      <xdr:rowOff>97643</xdr:rowOff>
    </xdr:to>
    <xdr:sp macro="" textlink="">
      <xdr:nvSpPr>
        <xdr:cNvPr id="28" name="Left Brace 27">
          <a:extLst>
            <a:ext uri="{FF2B5EF4-FFF2-40B4-BE49-F238E27FC236}">
              <a16:creationId xmlns:a16="http://schemas.microsoft.com/office/drawing/2014/main" id="{00000000-0008-0000-0000-00001C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29" name="Left Brace 28">
          <a:extLst>
            <a:ext uri="{FF2B5EF4-FFF2-40B4-BE49-F238E27FC236}">
              <a16:creationId xmlns:a16="http://schemas.microsoft.com/office/drawing/2014/main" id="{00000000-0008-0000-0000-00001D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69</xdr:row>
      <xdr:rowOff>132907</xdr:rowOff>
    </xdr:from>
    <xdr:to>
      <xdr:col>6</xdr:col>
      <xdr:colOff>598084</xdr:colOff>
      <xdr:row>69</xdr:row>
      <xdr:rowOff>132907</xdr:rowOff>
    </xdr:to>
    <xdr:cxnSp macro="">
      <xdr:nvCxnSpPr>
        <xdr:cNvPr id="30" name="Straight Arrow Connector 29">
          <a:extLst>
            <a:ext uri="{FF2B5EF4-FFF2-40B4-BE49-F238E27FC236}">
              <a16:creationId xmlns:a16="http://schemas.microsoft.com/office/drawing/2014/main" id="{00000000-0008-0000-0000-00001E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00000000-0008-0000-0700-000007000000}"/>
            </a:ext>
          </a:extLst>
        </xdr:cNvPr>
        <xdr:cNvCxnSpPr/>
      </xdr:nvCxnSpPr>
      <xdr:spPr>
        <a:xfrm flipV="1">
          <a:off x="5306483" y="3676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00000000-0008-0000-0700-000008000000}"/>
            </a:ext>
          </a:extLst>
        </xdr:cNvPr>
        <xdr:cNvCxnSpPr/>
      </xdr:nvCxnSpPr>
      <xdr:spPr>
        <a:xfrm>
          <a:off x="6693096" y="36880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00000000-0008-0000-0700-000009000000}"/>
            </a:ext>
          </a:extLst>
        </xdr:cNvPr>
        <xdr:cNvCxnSpPr/>
      </xdr:nvCxnSpPr>
      <xdr:spPr>
        <a:xfrm>
          <a:off x="2478912" y="32642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00000000-0008-0000-0700-00000A000000}"/>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00000000-0008-0000-0700-00000B000000}"/>
            </a:ext>
          </a:extLst>
        </xdr:cNvPr>
        <xdr:cNvCxnSpPr/>
      </xdr:nvCxnSpPr>
      <xdr:spPr>
        <a:xfrm>
          <a:off x="6670945" y="42573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700-00000C000000}"/>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0000000-0008-0000-0700-00000D000000}"/>
            </a:ext>
          </a:extLst>
        </xdr:cNvPr>
        <xdr:cNvCxnSpPr/>
      </xdr:nvCxnSpPr>
      <xdr:spPr>
        <a:xfrm>
          <a:off x="975094" y="16662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00000000-0008-0000-0700-00000E000000}"/>
            </a:ext>
          </a:extLst>
        </xdr:cNvPr>
        <xdr:cNvCxnSpPr/>
      </xdr:nvCxnSpPr>
      <xdr:spPr>
        <a:xfrm flipV="1">
          <a:off x="2176131" y="16717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00000000-0008-0000-0700-00000F000000}"/>
            </a:ext>
          </a:extLst>
        </xdr:cNvPr>
        <xdr:cNvCxnSpPr/>
      </xdr:nvCxnSpPr>
      <xdr:spPr>
        <a:xfrm flipV="1">
          <a:off x="10231842" y="28439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00000000-0008-0000-0700-000010000000}"/>
            </a:ext>
          </a:extLst>
        </xdr:cNvPr>
        <xdr:cNvCxnSpPr/>
      </xdr:nvCxnSpPr>
      <xdr:spPr>
        <a:xfrm>
          <a:off x="6007395" y="28439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00000000-0008-0000-0700-000011000000}"/>
            </a:ext>
          </a:extLst>
        </xdr:cNvPr>
        <xdr:cNvCxnSpPr/>
      </xdr:nvCxnSpPr>
      <xdr:spPr>
        <a:xfrm>
          <a:off x="6018471" y="28439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0000000-0008-0000-0700-000012000000}"/>
            </a:ext>
          </a:extLst>
        </xdr:cNvPr>
        <xdr:cNvCxnSpPr/>
      </xdr:nvCxnSpPr>
      <xdr:spPr>
        <a:xfrm flipV="1">
          <a:off x="3850094" y="32558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00000000-0008-0000-0700-000013000000}"/>
            </a:ext>
          </a:extLst>
        </xdr:cNvPr>
        <xdr:cNvCxnSpPr/>
      </xdr:nvCxnSpPr>
      <xdr:spPr>
        <a:xfrm>
          <a:off x="4577095" y="32569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00000000-0008-0000-0700-000014000000}"/>
            </a:ext>
          </a:extLst>
        </xdr:cNvPr>
        <xdr:cNvCxnSpPr/>
      </xdr:nvCxnSpPr>
      <xdr:spPr>
        <a:xfrm>
          <a:off x="2428211" y="28594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00000000-0008-0000-0700-000015000000}"/>
            </a:ext>
          </a:extLst>
        </xdr:cNvPr>
        <xdr:cNvCxnSpPr/>
      </xdr:nvCxnSpPr>
      <xdr:spPr>
        <a:xfrm>
          <a:off x="3850094" y="35213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0000000-0008-0000-0700-000016000000}"/>
            </a:ext>
          </a:extLst>
        </xdr:cNvPr>
        <xdr:cNvCxnSpPr/>
      </xdr:nvCxnSpPr>
      <xdr:spPr>
        <a:xfrm flipV="1">
          <a:off x="3850094" y="35067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00000000-0008-0000-0700-000017000000}"/>
            </a:ext>
          </a:extLst>
        </xdr:cNvPr>
        <xdr:cNvCxnSpPr/>
      </xdr:nvCxnSpPr>
      <xdr:spPr>
        <a:xfrm>
          <a:off x="12474871" y="35078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00000000-0008-0000-0700-000018000000}"/>
            </a:ext>
          </a:extLst>
        </xdr:cNvPr>
        <xdr:cNvCxnSpPr/>
      </xdr:nvCxnSpPr>
      <xdr:spPr>
        <a:xfrm flipV="1">
          <a:off x="8985250" y="19970751"/>
          <a:ext cx="2794000"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00000000-0008-0000-0700-000019000000}"/>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00000000-0008-0000-0700-00001A000000}"/>
            </a:ext>
          </a:extLst>
        </xdr:cNvPr>
        <xdr:cNvSpPr/>
      </xdr:nvSpPr>
      <xdr:spPr>
        <a:xfrm>
          <a:off x="1141227" y="19654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00000000-0008-0000-0700-00001B000000}"/>
            </a:ext>
          </a:extLst>
        </xdr:cNvPr>
        <xdr:cNvSpPr/>
      </xdr:nvSpPr>
      <xdr:spPr>
        <a:xfrm>
          <a:off x="1138568" y="20516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00000000-0008-0000-0700-00001C000000}"/>
            </a:ext>
          </a:extLst>
        </xdr:cNvPr>
        <xdr:cNvCxnSpPr/>
      </xdr:nvCxnSpPr>
      <xdr:spPr>
        <a:xfrm flipH="1">
          <a:off x="4422039" y="18230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00000000-0008-0000-0700-00001D000000}"/>
            </a:ext>
          </a:extLst>
        </xdr:cNvPr>
        <xdr:cNvCxnSpPr/>
      </xdr:nvCxnSpPr>
      <xdr:spPr>
        <a:xfrm>
          <a:off x="533400" y="19497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flipV="1">
          <a:off x="8901223" y="31986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00000000-0008-0000-0700-00001F000000}"/>
            </a:ext>
          </a:extLst>
        </xdr:cNvPr>
        <xdr:cNvCxnSpPr/>
      </xdr:nvCxnSpPr>
      <xdr:spPr>
        <a:xfrm flipH="1" flipV="1">
          <a:off x="10508733" y="31951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00000000-0008-0000-0700-000020000000}"/>
            </a:ext>
          </a:extLst>
        </xdr:cNvPr>
        <xdr:cNvCxnSpPr/>
      </xdr:nvCxnSpPr>
      <xdr:spPr>
        <a:xfrm>
          <a:off x="12456163" y="39343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00000000-0008-0000-0700-000021000000}"/>
            </a:ext>
          </a:extLst>
        </xdr:cNvPr>
        <xdr:cNvCxnSpPr/>
      </xdr:nvCxnSpPr>
      <xdr:spPr>
        <a:xfrm flipV="1">
          <a:off x="12450898" y="39244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00000000-0008-0000-0700-000022000000}"/>
            </a:ext>
          </a:extLst>
        </xdr:cNvPr>
        <xdr:cNvCxnSpPr/>
      </xdr:nvCxnSpPr>
      <xdr:spPr>
        <a:xfrm>
          <a:off x="10242919" y="44995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00000000-0008-0000-0700-000023000000}"/>
            </a:ext>
          </a:extLst>
        </xdr:cNvPr>
        <xdr:cNvCxnSpPr/>
      </xdr:nvCxnSpPr>
      <xdr:spPr>
        <a:xfrm flipH="1">
          <a:off x="11549838" y="44984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6" name="Straight Connector 35">
          <a:extLst>
            <a:ext uri="{FF2B5EF4-FFF2-40B4-BE49-F238E27FC236}">
              <a16:creationId xmlns:a16="http://schemas.microsoft.com/office/drawing/2014/main" id="{00000000-0008-0000-0700-000024000000}"/>
            </a:ext>
          </a:extLst>
        </xdr:cNvPr>
        <xdr:cNvCxnSpPr/>
      </xdr:nvCxnSpPr>
      <xdr:spPr>
        <a:xfrm>
          <a:off x="8513577" y="29527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00000000-0008-0000-0700-000025000000}"/>
            </a:ext>
          </a:extLst>
        </xdr:cNvPr>
        <xdr:cNvCxnSpPr/>
      </xdr:nvCxnSpPr>
      <xdr:spPr>
        <a:xfrm flipV="1">
          <a:off x="8098243" y="3925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00000000-0008-0000-0700-000026000000}"/>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00000000-0008-0000-0700-000027000000}"/>
            </a:ext>
          </a:extLst>
        </xdr:cNvPr>
        <xdr:cNvCxnSpPr/>
      </xdr:nvCxnSpPr>
      <xdr:spPr>
        <a:xfrm flipV="1">
          <a:off x="7383868" y="31286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00000000-0008-0000-0700-000028000000}"/>
            </a:ext>
          </a:extLst>
        </xdr:cNvPr>
        <xdr:cNvCxnSpPr/>
      </xdr:nvCxnSpPr>
      <xdr:spPr>
        <a:xfrm flipV="1">
          <a:off x="3850093" y="35258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00000000-0008-0000-07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00000000-0008-0000-0700-00002A000000}"/>
            </a:ext>
          </a:extLst>
        </xdr:cNvPr>
        <xdr:cNvCxnSpPr/>
      </xdr:nvCxnSpPr>
      <xdr:spPr>
        <a:xfrm>
          <a:off x="10613951" y="28539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00000000-0008-0000-0700-00002B000000}"/>
            </a:ext>
          </a:extLst>
        </xdr:cNvPr>
        <xdr:cNvCxnSpPr/>
      </xdr:nvCxnSpPr>
      <xdr:spPr>
        <a:xfrm>
          <a:off x="2428211" y="28594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00000000-0008-0000-0700-00002C000000}"/>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00000000-0008-0000-0700-00002D000000}"/>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00000000-0008-0000-0700-00002E000000}"/>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00000000-0008-0000-0700-00002F000000}"/>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00000000-0008-0000-0700-000030000000}"/>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00000000-0008-0000-0700-000031000000}"/>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00000000-0008-0000-0700-000032000000}"/>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D2131C85-3B85-404A-B0C9-3A9FB9B9F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FD5A9DDE-BB86-4FB3-95CA-B75186CA02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8521FC03-4D31-46C6-8FA1-CDD39B652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B8D36983-80E3-4E95-9F78-B07F616A3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C2F5B428-E6D4-40E3-BE3D-616B51465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F0C9D06F-5779-48B0-B6B3-D2B924F55C45}"/>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5ED102C6-1911-48F6-8778-FE6C9F468399}"/>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50054F23-C481-4AF5-B5B7-E79DA84047C4}"/>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CF02FA2C-7FA3-46B2-A4B2-D9A6CF5A3DB7}"/>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9E461D9F-8EF8-4D5F-8BB5-4F96BD9CFBC4}"/>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9D50525A-C192-4FCC-8943-394A669FF65C}"/>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3944388C-4426-4724-A107-64C2E9717E87}"/>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3334A7AF-2D1C-4FB5-95B4-167AAD9AE5DE}"/>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724A737F-F31E-42ED-BAE7-3C153BD1D4AF}"/>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4CE60338-4041-4C9B-91B1-151DFFE3BD1A}"/>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FAEF7F3D-7D2D-46EC-8A92-4F1CC3B22046}"/>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DB3D72B0-0EF7-466F-AE4C-919DB975CB85}"/>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F1A5CBD6-0C03-4D2D-BF77-C0BF8363C2E9}"/>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CF6A655D-1736-4315-9455-2FCE4CC4C995}"/>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1688E839-7BE7-4B23-97C6-7FF636433647}"/>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FA353B18-260E-483E-8C48-975C8F4D34BC}"/>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2FEE1051-541A-47EA-9613-6A5341BA04CE}"/>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C298233B-B1E4-4585-8568-3240370B8862}"/>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1470DD69-E923-49E0-8650-FA753A46310B}"/>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4D30C95B-507D-41A9-A321-DBB5D7844169}"/>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687EB49E-C1D1-4342-854C-451BA0AF04AB}"/>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304ACDD4-E047-4D9E-A97F-69FA5F5876EA}"/>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33C730D9-9D44-4A6B-A2BA-DFCB3705CB11}"/>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E0E9E74B-CBC6-43F2-938E-C6B8CF08F890}"/>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A33F743E-7893-409F-9E4C-2381FC376430}"/>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C8DB1CDD-C67A-4D5F-92BE-47DFA3D7E847}"/>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8F1C6E31-34F0-45B0-AFB9-C4AA8AB3096F}"/>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B7569339-5CDC-4FD8-8738-6BD73028C767}"/>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E428867E-EE85-413B-B9DD-3CC8533BF3E3}"/>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36A202E6-3C6A-4E78-8D19-DE0E1D4ABEBC}"/>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BC228516-FD82-49CF-8D55-E7CDEE089E7F}"/>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0931A6CF-4C04-446E-B4CC-656A598ECDC7}"/>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CE505FA6-2F6F-4100-A2C1-12930E03160F}"/>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5C008F01-D1CD-4248-B5B6-C7082B3E7609}"/>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82E06439-AAC3-4CFF-A1D6-DAEAD6F78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42AA0089-C12D-4B43-A24F-721AF5F65B86}"/>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CC41EABF-C203-4BFA-8EAC-EF5148DFAF2E}"/>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5276C8C1-0992-40A7-AE25-F66253782A78}"/>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609476E0-AFDC-4A7C-84C0-9211F667E9B9}"/>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9431FE79-428F-47BF-95FE-ED3811F8CEF5}"/>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DD553777-CDFE-478E-BBAB-80AC4A30222B}"/>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D30936CE-7BA0-4EF1-9ECB-E30442F3545E}"/>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DFD0EA82-A09A-4202-9C2A-EB774C226022}"/>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A54ED002-3DB3-4530-9878-CC1CE3B455A0}"/>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30FA071C-966F-42BC-BEC2-9811991608C9}"/>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4CFBB883-A932-47B1-A000-5DE4BA093F27}"/>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97B9B19F-16D6-41D5-8F8C-1F5C574AE86A}"/>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D9595D9C-E953-4AA7-8BFF-27BE87FB3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453A3097-E0D0-4BEC-9E67-AE2B96661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545A5F57-A148-4E69-A96B-6F9D0D6FF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2898F9A3-CD33-41C5-855B-A83654FFE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DE155F0B-8817-48E6-86C9-7753FE6F89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95610B80-E9B9-4FAA-86A7-78B2BDE8A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995C50F3-BB71-4372-AC6C-BA1F21C641C5}"/>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9259F0D2-DA8F-42CD-9C0B-40B6F88CCBD9}"/>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8D9AB381-5CC2-40E8-B72E-3847E9C1710C}"/>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F5452E9B-912A-499F-9154-BF479E69D7C2}"/>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C745ED42-6AAB-4D2A-B79D-F48431BA05DE}"/>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1B179B52-D72C-43E1-B554-FB9DD7D7F0F6}"/>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1610635D-35C6-41A0-9BFC-E66B2F3E4FC5}"/>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CE95F1E8-A881-43CD-B4DC-63A3027D91B9}"/>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146F49C3-5AF0-4FD8-BF09-71FF9520019D}"/>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428F273F-6961-45E0-BA25-C08C39EAAF25}"/>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EBF2FEC3-0033-49FD-8870-E31D3E9AF33B}"/>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4670CED-CF13-4151-A5B9-6CEE363E5E4E}"/>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F5B0E810-DA45-4B92-A5C2-57B99D92B7C7}"/>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B34CE901-571A-4167-AB7A-4F804E566367}"/>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F3F9A5F7-BD5A-45F6-83D0-9D3F970A1C54}"/>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E9BFFD3B-1898-45E9-8D09-D3BE6E6022AC}"/>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BB1492D9-B3F9-40A5-A02B-543D353B968E}"/>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E406FCEE-76B8-42C3-BCA5-E221086AB3CD}"/>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BDB66E65-425D-49A8-A2F1-B5D4CA8AE731}"/>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4E66DB77-029B-4CF7-A3D9-BE9DDFF077EA}"/>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5671F755-0FF1-44C6-AA3E-28C2FFD4C16F}"/>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FB756F4C-4FBA-450F-8B5B-9177C591C41D}"/>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ECFB99CE-9D7A-456D-AFFA-73650BBA2839}"/>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303CC198-7D25-473C-94EF-656EFDD3EAE3}"/>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107C554E-286B-4E2E-AF63-E9DAA4CC32F4}"/>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4B321273-5864-412F-B757-29435D84BD02}"/>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9EC2D3DD-EFE7-4646-8251-04AFAADA4441}"/>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A9EBAE97-A9CA-4826-81AC-3A6F3F955640}"/>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5BFF4E23-88CA-4B77-BD9D-858AC658F359}"/>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534762E0-5513-4666-8B9C-E4DD98619C0F}"/>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15D532F1-5552-46A6-B384-BE7F2DECD07F}"/>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65507C9A-0B8D-4E4E-A97E-B0A7C439A3DC}"/>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66490C89-CAF7-4922-84D6-9E559002C042}"/>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AAF695D9-FF19-47EE-81D4-401957F007B2}"/>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228540B2-87E9-48BF-8E5A-F1A6309BD5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DA38F761-D5F7-42D0-960B-05B224CF471C}"/>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1EAAFBB7-2E5F-43E4-A665-3D970152B115}"/>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DF63A438-A894-43BA-86B1-8FBAC87A44F5}"/>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99C08C57-4152-427D-A31D-47680EC9B5EB}"/>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11627382-80ED-41B6-BDE4-D12358B552A5}"/>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F6B699A5-DD11-44EC-9376-8BDD3FA0D69C}"/>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88E11439-DB8A-4A5A-BD7A-3AD0D3F372C3}"/>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F4181787-0F6B-4278-B21F-068CAB3A5ABB}"/>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096953A6-1101-4709-AFB4-424106016CC6}"/>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C52D9CB8-5679-4D2E-B6A2-BE3FA493A8C2}"/>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DF0BEF92-9F19-4AE0-89B8-E943229F64FD}"/>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0F80D81E-31F7-4D8F-BED0-FFCD4CA452BB}"/>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01314D8D-B597-4E01-A5AE-954A95DB3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750A3F7F-7594-4978-AB48-B406E1A90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11E481F9-9375-4519-89FD-01B292A5B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68646EB1-4E1A-46C4-9919-4F1F870F5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B69BEF79-C509-46C5-9350-5103B9886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3D360460-ED89-48FF-A51B-2B1277EC4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8081E550-E75E-4687-B415-D625D58580E4}"/>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ED80A733-94F9-4E51-A58A-D9A3D2E00E71}"/>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61A06182-3561-4269-8EFC-BE90C8C4B545}"/>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28732CD4-A378-4730-B972-BFDDF8020A15}"/>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0255301E-55BF-4427-BC9E-A224717C2EC7}"/>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BB47461B-7179-4DD5-8C1C-74B510815C8E}"/>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EF05BCB8-9B86-47B0-975F-784BC4D75CF2}"/>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6D4657C6-00E2-44B7-B517-FFEB6795395B}"/>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E0F511D2-EC7D-4E1A-9476-6436F9979FA8}"/>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AAF0CDB9-00D1-4ED4-9628-2B8313F41648}"/>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B00A43C5-6D0C-44F8-8253-1B556E015B5E}"/>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84E2C685-322F-4485-B3B1-7530F9182F7B}"/>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3DA9F933-18DA-41E3-BB84-5B6B7A8F5404}"/>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E2EF2896-5500-46B2-AF53-F36AF37EDDD9}"/>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1CD4B861-9A0A-4D04-A9DE-B33160F07EB6}"/>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4403FC0-7138-48C1-BAC7-DD92F2583C89}"/>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798A75EF-AD57-494D-BA47-233367C8B104}"/>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12C2CB91-9CCD-43C9-AC9E-702A344A0EBF}"/>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BD032D6B-9C28-4526-A871-9DE6105A3FAD}"/>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DA2E1FF6-E737-4AF9-BE33-8F6A3A82C780}"/>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DACE9893-1C69-4547-923D-198AFC852FFD}"/>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6AA6F7CC-27BC-4C5B-8E3D-78D5ABB6FDE3}"/>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58B63D30-3AD8-4311-9C28-CA775765C434}"/>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4F3194F5-BD7A-4E72-B308-7DA83F81768A}"/>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6F6C64D1-9DED-4426-BDB6-3DB889078B40}"/>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B9987A10-426F-4E9A-8290-05F731A36440}"/>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5EFA53CF-534E-4831-9CF3-121AC9EFB6EB}"/>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5E5BCB1D-4CF3-4667-8835-DA83B2BDA669}"/>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F08A1688-56FB-406B-80BE-4345F686261A}"/>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D6D92834-BEA9-47E4-B575-F5048C6BC492}"/>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63090376-BFC8-40EA-B34D-0119CCBD529F}"/>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9D130F55-106E-49A0-A508-719F1DAB64CA}"/>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CF331DEF-50C7-4404-A407-BB992C20B950}"/>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FDEAC4DF-A0BB-4250-AC76-81BC4F3C8A05}"/>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89D5F4D0-F356-4EBA-A410-6FCB0DE39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921624E1-6B89-46CF-B0CE-7CCA72A02DE9}"/>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8D27314C-38B2-409B-8830-0179A3E30240}"/>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41D9BCC8-A71B-48EE-B946-6066B638F428}"/>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667D044B-06B2-46BE-966D-75C5BCB414F9}"/>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B049F445-93C0-4558-A2C3-1B190256A515}"/>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B36C23E2-637C-4E72-925E-7D937D36A09F}"/>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1662D378-9252-4DB4-AFFD-1C6B5180B712}"/>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15FE02A0-EA06-43ED-BF02-2F875949F16C}"/>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3C8B4DE9-B5D1-448C-921C-17B94DADB7EC}"/>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3F5F74B3-24ED-40F0-B69D-82DD2BA42809}"/>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376AE795-A0E3-4A69-A30F-5BF541455E21}"/>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362ABF5F-77A6-489C-B1B2-D791A4EAAF0B}"/>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24852C19-9995-4DB2-917B-858431BD2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569F2FBC-AB72-4077-B31C-B130601EB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0D0AF79F-E49B-4852-A142-84344AA0F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4D77E5AC-77B7-4662-8C11-6C6E5628E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6A7F61F0-3E4D-4BAE-A0CB-DA9AF6F9D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81F3E454-1049-4EA0-BC0C-F796F43A3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281F0DB2-2080-4E49-8503-0061EAD0CA59}"/>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65ED4186-7728-402E-BBF4-F50FEF3FE417}"/>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F103FF62-6CEC-4EE9-9D36-387430694DED}"/>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864B5562-91D5-4017-B958-6B933F92DC57}"/>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BD98A459-D529-4E7C-B04A-BBF2FB6882B6}"/>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E5975B5F-4F2A-451C-AA99-0A1A1E7B4D2A}"/>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1C463127-9DEE-4C4F-AC41-DC65A1D5F1B7}"/>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0ECF7D04-4F02-4BA5-960A-2536A59441CA}"/>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ED088C73-DC76-4A6E-87C6-F43F86A15662}"/>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BB7FDA12-46F8-4AFC-B2C8-8982F7B0295B}"/>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AF559C57-E151-4466-8411-7BA45F5BE471}"/>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F098728A-183D-4158-A078-E6F9BC650DBF}"/>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ECEE1117-D74D-4592-82E7-7EBCA2EFF670}"/>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7D1C4BD7-959C-47E6-93AE-5A85FF8F8F87}"/>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13099E55-0886-411E-8624-8094FB293743}"/>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8449070F-61BC-48AA-9E0C-90F716F5B888}"/>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802ACC61-030D-4DF4-BFA4-69FFD5E55EBC}"/>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91B3AC63-EB52-4AD7-957C-C56A9725AC7C}"/>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87455529-654F-40A2-A97E-1007E4E47DD8}"/>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B5624574-B606-4254-B523-17F10B4C34E3}"/>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51007CC9-1E5A-4067-B725-D07FB9695192}"/>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74C7ED08-0309-43B6-8D74-9BD5C195B616}"/>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EA3CFB23-5889-473E-B698-D78E690AB4A2}"/>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D4CBABB5-0502-48D1-9A27-D211836F95C2}"/>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4DC40B72-01E6-42E1-83DB-1F8A7F138AD9}"/>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4582F589-31AC-48EB-91F3-B95181433689}"/>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537CA28D-DD87-400F-80AD-5FFFD29D3C88}"/>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DA0F5665-64F8-488C-8225-63B59D4275EC}"/>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694091FB-6947-47C0-BADF-AC3AD3B14068}"/>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65CBDD4D-0151-4CC9-BD80-8927D88601F0}"/>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7C4C1CFC-9B63-4C67-851F-98EC1621A877}"/>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403A4717-65E8-46C6-BA76-015EF6FCAA2E}"/>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E6C4BB89-F0C5-4D5C-B57F-8936B474DB93}"/>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757E9CA6-34BD-44C8-BEDD-F2A2FEA76AED}"/>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D33025D2-A775-465C-9F94-63A671015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FA2C4D53-CD2B-4ACC-B676-E5631B21A934}"/>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C44A5E75-5C5C-4DA3-AED1-BAE07EAE7C3C}"/>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88CD3B36-0055-4DAA-B809-4CA1BB8570E2}"/>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A8C2D308-961C-4041-83E3-5F19792F54FE}"/>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9D76670C-0D08-43BC-AA4D-636236E29BBF}"/>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73E106A4-7720-4BF7-8A43-9B3F7B2D8621}"/>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7C1D8E35-B334-4ED9-8456-2914FD82CA04}"/>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A249E09B-CFB6-4D31-95D0-C5974CD52666}"/>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FD60A978-4018-493A-9478-FEEFEA36EB67}"/>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31BCE8A1-2509-4C72-B53B-A34F682753C6}"/>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664A9574-B503-40C8-8B31-213F14E9CF44}"/>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98043B43-3B6F-41CC-ABED-6F83C68E4FCD}"/>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302B8C1F-E6AF-4DF5-8286-6EC926917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D4A8B76A-5F93-4B77-8BC3-61423E900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0094161E-0D48-44A6-8AF2-81D1BF54C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204612FF-994F-47B5-9327-94CF9D97F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3019CF53-33E5-4A2E-A993-0A83D9535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73A07531-DB64-46C2-8972-96B09C8C3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54D3658E-645D-4E65-97D2-DAB72C299697}"/>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4971B564-2B8F-49B1-A3DE-367D64408080}"/>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FEC0DC7F-7E55-4E39-AE53-721D1F3F5B94}"/>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D62DA162-98AE-4CF7-BE55-BA8F9A191DB1}"/>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F6C84D26-25A8-4D12-858E-BD1786C4DC5B}"/>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1F942261-7CAC-4623-AE81-D8CFB4D9E807}"/>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EF2F0B40-8D42-4901-95FB-53D4720C5910}"/>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920BF2CE-7340-40C0-951A-BF2CEF3629E1}"/>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166B3F77-2330-4E70-B5C5-B06019E54930}"/>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2B991F02-8CDC-4E60-A94F-FB3D2000E607}"/>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67278306-5A9C-4734-AE14-B8B5C7FB57B2}"/>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62990A61-516D-4479-AD64-27B16BCFD5F9}"/>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7862DD34-558F-43C8-B4C2-179D65EA8884}"/>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A13BEEBB-AEE9-427A-823F-ADC9A2C56535}"/>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3B21862F-FA78-4FA6-B8B7-ADE8ACF06EED}"/>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7DD60A0C-B9A6-4965-BD27-426C2E591619}"/>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1404A167-D0CB-44D6-82B8-92BC4E8E5A12}"/>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CEF9F57A-C56E-40FB-B04D-69067520A6F7}"/>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D07C1DF7-463D-439E-BC0D-35BF00795879}"/>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3F5D6432-6C49-4379-AFB0-72B95D55D93A}"/>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98FA4728-E9B3-4E0A-86CD-45A5370FF9A5}"/>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AD9FA41C-2DE8-4314-A1BD-18631B389B24}"/>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D2909378-5480-4315-955E-C6E98F07D070}"/>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F8790C77-2EA6-44B8-878B-6899A81135A9}"/>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3C36E190-6561-4243-8189-58296A89BDDB}"/>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BB0B1E48-31D1-480E-8E7D-A387C678748F}"/>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136008E7-E378-40FC-984F-379230E176BD}"/>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F9EA55BC-A692-40C3-9086-7A87B9847A81}"/>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A023A0E7-889D-479B-9081-30092F3AE4B5}"/>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72E1516D-1992-4A85-B4D1-C50BD60B53E0}"/>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CC59A5BE-FBE9-477D-BDE2-A06E750D756F}"/>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73C7D938-26FE-4C5F-9D99-B7E8C072AFC1}"/>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20249E5D-3ADA-4D53-A738-F3B7E515F96C}"/>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F2D170AC-D7F2-4932-8BCC-BDB9BD1A8F09}"/>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790F9919-8BFB-4069-840B-7A1D0E4A3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C74E831E-E72F-4C63-981A-71F4221EE634}"/>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7B000182-AF9F-478F-B460-ADBAD9EEAC8E}"/>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FB5B249F-F007-46F9-9ECA-11ADD0B2C53E}"/>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3F39C2D7-C6CC-4AF4-A5B8-30302600138D}"/>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A2910E08-2EBD-4766-A2C1-8EAE570649CF}"/>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64E24D88-45C1-4C81-897E-5CABB20A6BD5}"/>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D957CE2A-A5C3-4DC5-985B-F9E54CAC0BA4}"/>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8DA47B0E-D73A-4D07-ADB3-79CA86F92AAC}"/>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4A954AE0-34BA-4D2F-9169-C259B6E7C8A6}"/>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92A70CF0-C458-4092-9299-DBA83E41FFA0}"/>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55F388CD-91DF-47BE-A4C1-9EC712E26A87}"/>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B46CE357-5A3D-4DAA-9067-9D2460E0660E}"/>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81001CEB-197F-47C1-B1F3-05716F3E5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317501</xdr:colOff>
      <xdr:row>81</xdr:row>
      <xdr:rowOff>168274</xdr:rowOff>
    </xdr:from>
    <xdr:to>
      <xdr:col>21</xdr:col>
      <xdr:colOff>52918</xdr:colOff>
      <xdr:row>96</xdr:row>
      <xdr:rowOff>53974</xdr:rowOff>
    </xdr:to>
    <xdr:graphicFrame macro="">
      <xdr:nvGraphicFramePr>
        <xdr:cNvPr id="55" name="Chart 54">
          <a:extLst>
            <a:ext uri="{FF2B5EF4-FFF2-40B4-BE49-F238E27FC236}">
              <a16:creationId xmlns:a16="http://schemas.microsoft.com/office/drawing/2014/main" id="{FBBDC730-801B-B905-975C-74A8B57BBD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5BD22CC1-A6CE-4A78-8273-59EA5A927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69397EC2-F017-48FD-A8D6-27BC11F68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B4EFF15B-1C6A-4D51-844E-4ECBE0810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C8D1B9DB-8E6E-4CD8-9B31-C0E5BEB763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41D63B49-A1BE-410B-B675-951714B55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4D7493C7-4FBF-4AE5-A67D-595A57E2C747}"/>
            </a:ext>
          </a:extLst>
        </xdr:cNvPr>
        <xdr:cNvCxnSpPr/>
      </xdr:nvCxnSpPr>
      <xdr:spPr>
        <a:xfrm flipV="1">
          <a:off x="5306483" y="42522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E71A9162-F95A-4B13-AEE5-AEA27C4795AD}"/>
            </a:ext>
          </a:extLst>
        </xdr:cNvPr>
        <xdr:cNvCxnSpPr/>
      </xdr:nvCxnSpPr>
      <xdr:spPr>
        <a:xfrm>
          <a:off x="6693096" y="426335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0D2BD2A7-2A1E-4CE5-8D33-786DEE49145D}"/>
            </a:ext>
          </a:extLst>
        </xdr:cNvPr>
        <xdr:cNvCxnSpPr/>
      </xdr:nvCxnSpPr>
      <xdr:spPr>
        <a:xfrm>
          <a:off x="2478912" y="383957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BB6F3479-F122-4AD5-BA5A-FED4431A9085}"/>
            </a:ext>
          </a:extLst>
        </xdr:cNvPr>
        <xdr:cNvCxnSpPr/>
      </xdr:nvCxnSpPr>
      <xdr:spPr>
        <a:xfrm flipV="1">
          <a:off x="5306483" y="482377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F0A22FE1-8654-4292-AA72-ECA0CD24CCFE}"/>
            </a:ext>
          </a:extLst>
        </xdr:cNvPr>
        <xdr:cNvCxnSpPr/>
      </xdr:nvCxnSpPr>
      <xdr:spPr>
        <a:xfrm>
          <a:off x="6670945" y="483263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915A9D41-8E37-41CF-9BEE-0C758FB29A96}"/>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A16F6EC-EDA0-4E05-837B-3E7F836E1DBF}"/>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AC15EB6D-A9A1-45D3-804C-3BC76DDD7DB0}"/>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138F0E7A-68CE-4B96-94AD-28A9F2A714A1}"/>
            </a:ext>
          </a:extLst>
        </xdr:cNvPr>
        <xdr:cNvCxnSpPr/>
      </xdr:nvCxnSpPr>
      <xdr:spPr>
        <a:xfrm flipV="1">
          <a:off x="10231842" y="341929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3206FB01-A554-44A9-BA5A-092F7DE0B7C5}"/>
            </a:ext>
          </a:extLst>
        </xdr:cNvPr>
        <xdr:cNvCxnSpPr/>
      </xdr:nvCxnSpPr>
      <xdr:spPr>
        <a:xfrm>
          <a:off x="6007395" y="341929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59AC1772-74E2-49D6-9246-B389FE7160BB}"/>
            </a:ext>
          </a:extLst>
        </xdr:cNvPr>
        <xdr:cNvCxnSpPr/>
      </xdr:nvCxnSpPr>
      <xdr:spPr>
        <a:xfrm>
          <a:off x="6018471" y="341929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C30133E9-5928-4AF2-8F89-7B983C4B1911}"/>
            </a:ext>
          </a:extLst>
        </xdr:cNvPr>
        <xdr:cNvCxnSpPr/>
      </xdr:nvCxnSpPr>
      <xdr:spPr>
        <a:xfrm flipV="1">
          <a:off x="3850094" y="383111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C6087F50-C941-49A6-BD76-E80A607E8A46}"/>
            </a:ext>
          </a:extLst>
        </xdr:cNvPr>
        <xdr:cNvCxnSpPr/>
      </xdr:nvCxnSpPr>
      <xdr:spPr>
        <a:xfrm>
          <a:off x="4577095" y="383221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DE1E3635-31BE-4570-9F54-252E2912EBBE}"/>
            </a:ext>
          </a:extLst>
        </xdr:cNvPr>
        <xdr:cNvCxnSpPr/>
      </xdr:nvCxnSpPr>
      <xdr:spPr>
        <a:xfrm>
          <a:off x="2428211" y="343475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EE9E6E29-E116-469E-8094-99688D9E6B2B}"/>
            </a:ext>
          </a:extLst>
        </xdr:cNvPr>
        <xdr:cNvCxnSpPr/>
      </xdr:nvCxnSpPr>
      <xdr:spPr>
        <a:xfrm>
          <a:off x="3850094" y="409670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2BE4220-C785-4AE8-8885-DDD67C74D1BD}"/>
            </a:ext>
          </a:extLst>
        </xdr:cNvPr>
        <xdr:cNvCxnSpPr/>
      </xdr:nvCxnSpPr>
      <xdr:spPr>
        <a:xfrm flipV="1">
          <a:off x="3850094" y="408208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CA653195-B92E-43D8-AB04-4607F91ED0E9}"/>
            </a:ext>
          </a:extLst>
        </xdr:cNvPr>
        <xdr:cNvCxnSpPr/>
      </xdr:nvCxnSpPr>
      <xdr:spPr>
        <a:xfrm>
          <a:off x="12474871" y="408319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69865DB9-BC52-47AB-9928-4D5FF1B03F1E}"/>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DA54FF86-12F5-4C79-A165-A339616EFA8A}"/>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A941ACAE-3E20-4EB3-908F-C9D14DE417F9}"/>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DC53D698-EC0B-43A8-BEC4-7EE2D1B84782}"/>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CA800526-F810-43EC-B83C-88EBDF8A84E4}"/>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4DC13BC2-195A-4FA1-A976-69FB5EA1DA85}"/>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DE263E24-601E-43F5-96E4-FE73D0AE33EA}"/>
            </a:ext>
          </a:extLst>
        </xdr:cNvPr>
        <xdr:cNvCxnSpPr/>
      </xdr:nvCxnSpPr>
      <xdr:spPr>
        <a:xfrm flipV="1">
          <a:off x="8901223" y="377396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5E887145-DE44-4A38-B472-859522BF48A5}"/>
            </a:ext>
          </a:extLst>
        </xdr:cNvPr>
        <xdr:cNvCxnSpPr/>
      </xdr:nvCxnSpPr>
      <xdr:spPr>
        <a:xfrm flipH="1" flipV="1">
          <a:off x="10508733" y="377041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85A2A96F-9949-4C98-BD4E-C8D047B503DF}"/>
            </a:ext>
          </a:extLst>
        </xdr:cNvPr>
        <xdr:cNvCxnSpPr/>
      </xdr:nvCxnSpPr>
      <xdr:spPr>
        <a:xfrm>
          <a:off x="12456163" y="450969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8CC2F6EC-B68C-4640-BFF0-DDD523B5AF57}"/>
            </a:ext>
          </a:extLst>
        </xdr:cNvPr>
        <xdr:cNvCxnSpPr/>
      </xdr:nvCxnSpPr>
      <xdr:spPr>
        <a:xfrm flipV="1">
          <a:off x="12450898" y="449972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D490FA9D-3E09-41D5-94CC-5B931D0ADA90}"/>
            </a:ext>
          </a:extLst>
        </xdr:cNvPr>
        <xdr:cNvCxnSpPr/>
      </xdr:nvCxnSpPr>
      <xdr:spPr>
        <a:xfrm>
          <a:off x="10242919" y="507489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B0B67E8F-113C-4C49-BA70-6D57B7A6A8C5}"/>
            </a:ext>
          </a:extLst>
        </xdr:cNvPr>
        <xdr:cNvCxnSpPr/>
      </xdr:nvCxnSpPr>
      <xdr:spPr>
        <a:xfrm flipH="1">
          <a:off x="11549838" y="507379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89D25589-1487-4B44-8B3F-D043FB9C1236}"/>
            </a:ext>
          </a:extLst>
        </xdr:cNvPr>
        <xdr:cNvCxnSpPr/>
      </xdr:nvCxnSpPr>
      <xdr:spPr>
        <a:xfrm>
          <a:off x="8619410" y="35026604"/>
          <a:ext cx="202309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922FC04F-392A-4272-B8FE-00AE8E453513}"/>
            </a:ext>
          </a:extLst>
        </xdr:cNvPr>
        <xdr:cNvCxnSpPr/>
      </xdr:nvCxnSpPr>
      <xdr:spPr>
        <a:xfrm flipV="1">
          <a:off x="8098243" y="45011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8CA12C1A-6BD1-44FF-A660-7A7FB87E94EC}"/>
            </a:ext>
          </a:extLst>
        </xdr:cNvPr>
        <xdr:cNvCxnSpPr/>
      </xdr:nvCxnSpPr>
      <xdr:spPr>
        <a:xfrm flipV="1">
          <a:off x="8098243" y="507268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EE22AB0C-1881-46BB-861D-FC994F4BBB78}"/>
            </a:ext>
          </a:extLst>
        </xdr:cNvPr>
        <xdr:cNvCxnSpPr/>
      </xdr:nvCxnSpPr>
      <xdr:spPr>
        <a:xfrm flipV="1">
          <a:off x="7383868" y="370394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B098CD83-87C0-47F3-9806-030D88C7EA94}"/>
            </a:ext>
          </a:extLst>
        </xdr:cNvPr>
        <xdr:cNvCxnSpPr/>
      </xdr:nvCxnSpPr>
      <xdr:spPr>
        <a:xfrm flipV="1">
          <a:off x="3850093" y="410113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82DBFE10-B156-45EC-B870-540F1BDE43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E5D0CC2B-412C-4E8D-92EB-FF9F16D7AE0F}"/>
            </a:ext>
          </a:extLst>
        </xdr:cNvPr>
        <xdr:cNvCxnSpPr/>
      </xdr:nvCxnSpPr>
      <xdr:spPr>
        <a:xfrm>
          <a:off x="10613951" y="342926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3675632A-9FCC-4F4F-B33E-32C60ADE17FA}"/>
            </a:ext>
          </a:extLst>
        </xdr:cNvPr>
        <xdr:cNvCxnSpPr/>
      </xdr:nvCxnSpPr>
      <xdr:spPr>
        <a:xfrm>
          <a:off x="2428211" y="343475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81B2680A-8418-4275-A1C4-81D727A117C2}"/>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4B061C1A-A96E-4FE3-A0A4-E49769E1C726}"/>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5ADF7DA7-AFD9-4BCB-904E-D525A74052DD}"/>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E6422B88-B52F-4253-B4F5-A79E6C9FA2F1}"/>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2EA5A8B4-6E7A-437A-BBC8-4295786EBEE9}"/>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5922B98C-A0FA-4052-B292-034572F1F97B}"/>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3421444F-2155-44C8-A523-2DA8EFDFB786}"/>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22C83C33-BF70-4EDB-8640-0588CC85C525}"/>
            </a:ext>
          </a:extLst>
        </xdr:cNvPr>
        <xdr:cNvCxnSpPr/>
      </xdr:nvCxnSpPr>
      <xdr:spPr>
        <a:xfrm>
          <a:off x="2483674" y="383910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2CF1EFD3-C99E-40B1-8720-DE34927BE35D}"/>
            </a:ext>
          </a:extLst>
        </xdr:cNvPr>
        <xdr:cNvCxnSpPr/>
      </xdr:nvCxnSpPr>
      <xdr:spPr>
        <a:xfrm flipH="1" flipV="1">
          <a:off x="11901488" y="407619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9A248080-F85E-404B-87FA-F12B2EE73287}"/>
            </a:ext>
          </a:extLst>
        </xdr:cNvPr>
        <xdr:cNvCxnSpPr/>
      </xdr:nvCxnSpPr>
      <xdr:spPr>
        <a:xfrm flipH="1" flipV="1">
          <a:off x="10565341" y="574241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317500</xdr:colOff>
      <xdr:row>173</xdr:row>
      <xdr:rowOff>9524</xdr:rowOff>
    </xdr:from>
    <xdr:to>
      <xdr:col>33</xdr:col>
      <xdr:colOff>592667</xdr:colOff>
      <xdr:row>187</xdr:row>
      <xdr:rowOff>43391</xdr:rowOff>
    </xdr:to>
    <xdr:graphicFrame macro="">
      <xdr:nvGraphicFramePr>
        <xdr:cNvPr id="54" name="Chart 53">
          <a:extLst>
            <a:ext uri="{FF2B5EF4-FFF2-40B4-BE49-F238E27FC236}">
              <a16:creationId xmlns:a16="http://schemas.microsoft.com/office/drawing/2014/main" id="{DBD6C376-B14B-101C-D34C-5694118C86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3E6C8D32-BF46-457E-A0D9-14CE09774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F288C390-42E8-4434-B83B-536E7AF98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916429EE-C141-4575-8738-F80CA31756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FA47CEBB-3146-49A8-8201-3A5CABF25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FE9780AD-3F67-40A7-AF5E-09B639E42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65D126A8-CDF1-4DB4-90B5-96BA6D43AC41}"/>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1AA3EF40-61B2-4304-BB60-499CFC3D4590}"/>
            </a:ext>
          </a:extLst>
        </xdr:cNvPr>
        <xdr:cNvCxnSpPr/>
      </xdr:nvCxnSpPr>
      <xdr:spPr>
        <a:xfrm>
          <a:off x="6693096" y="42595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6C030387-3BC6-4CDE-B41F-1867136801CB}"/>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50ACBF5F-5C38-48D2-8B82-CC9BDF17BA0E}"/>
            </a:ext>
          </a:extLst>
        </xdr:cNvPr>
        <xdr:cNvCxnSpPr/>
      </xdr:nvCxnSpPr>
      <xdr:spPr>
        <a:xfrm flipV="1">
          <a:off x="5306483" y="4819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AD1C55ED-3C87-44C7-BE56-8B11689E745B}"/>
            </a:ext>
          </a:extLst>
        </xdr:cNvPr>
        <xdr:cNvCxnSpPr/>
      </xdr:nvCxnSpPr>
      <xdr:spPr>
        <a:xfrm>
          <a:off x="6670945" y="48288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67469EE1-F435-46F1-B580-4DA36CC3CEAE}"/>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5C257E3F-1FDC-4C5A-9B08-F95AEF5F04F8}"/>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68FEA9C2-D575-4188-96CF-0450084CDFFC}"/>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2240E3F9-D226-4FE3-A344-3A8B9A11068F}"/>
            </a:ext>
          </a:extLst>
        </xdr:cNvPr>
        <xdr:cNvCxnSpPr/>
      </xdr:nvCxnSpPr>
      <xdr:spPr>
        <a:xfrm flipV="1">
          <a:off x="10231842" y="34154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FDABAD7D-F9D9-488A-8044-A183CD45BA6B}"/>
            </a:ext>
          </a:extLst>
        </xdr:cNvPr>
        <xdr:cNvCxnSpPr/>
      </xdr:nvCxnSpPr>
      <xdr:spPr>
        <a:xfrm>
          <a:off x="6007395" y="34154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423BDD97-ADAC-455A-89A7-03DE88BC2822}"/>
            </a:ext>
          </a:extLst>
        </xdr:cNvPr>
        <xdr:cNvCxnSpPr/>
      </xdr:nvCxnSpPr>
      <xdr:spPr>
        <a:xfrm>
          <a:off x="6018471" y="34154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57C3BB4C-38E5-46F3-9984-3E10EEBB061F}"/>
            </a:ext>
          </a:extLst>
        </xdr:cNvPr>
        <xdr:cNvCxnSpPr/>
      </xdr:nvCxnSpPr>
      <xdr:spPr>
        <a:xfrm flipV="1">
          <a:off x="3850094" y="38273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76033D39-D97A-44A0-AFAB-B85DD46D9421}"/>
            </a:ext>
          </a:extLst>
        </xdr:cNvPr>
        <xdr:cNvCxnSpPr/>
      </xdr:nvCxnSpPr>
      <xdr:spPr>
        <a:xfrm>
          <a:off x="4577095" y="38284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13432FE6-DAD8-4265-AEB7-14FD9C551650}"/>
            </a:ext>
          </a:extLst>
        </xdr:cNvPr>
        <xdr:cNvCxnSpPr/>
      </xdr:nvCxnSpPr>
      <xdr:spPr>
        <a:xfrm>
          <a:off x="2428211" y="34309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2EAFFF4F-DFAD-408E-9C8A-060007B51D53}"/>
            </a:ext>
          </a:extLst>
        </xdr:cNvPr>
        <xdr:cNvCxnSpPr/>
      </xdr:nvCxnSpPr>
      <xdr:spPr>
        <a:xfrm>
          <a:off x="3850094" y="40928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291538B6-49DF-4B2D-BF23-B9FB23DDEB47}"/>
            </a:ext>
          </a:extLst>
        </xdr:cNvPr>
        <xdr:cNvCxnSpPr/>
      </xdr:nvCxnSpPr>
      <xdr:spPr>
        <a:xfrm flipV="1">
          <a:off x="3850094" y="40782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5160298B-D513-4D79-8DAB-29848923BE20}"/>
            </a:ext>
          </a:extLst>
        </xdr:cNvPr>
        <xdr:cNvCxnSpPr/>
      </xdr:nvCxnSpPr>
      <xdr:spPr>
        <a:xfrm>
          <a:off x="12474871" y="40793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A0063ACB-0B9F-4C19-946F-78CDFACE3794}"/>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59C195F1-1B41-4033-AFA6-8F684221648F}"/>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6149BFD7-5CD7-41F7-9922-4811E9022E7A}"/>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2BA1A1C1-3937-41E5-9B82-2DC85815B308}"/>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0B3CEDBF-3C57-4F44-9162-EFABD86533CF}"/>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526BD2CC-17FD-4FB4-AA1C-F6D978D4647D}"/>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C8C52044-964A-48C7-9E36-9A08B7FB3181}"/>
            </a:ext>
          </a:extLst>
        </xdr:cNvPr>
        <xdr:cNvCxnSpPr/>
      </xdr:nvCxnSpPr>
      <xdr:spPr>
        <a:xfrm flipV="1">
          <a:off x="8901223" y="37701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0E37CC2D-4E00-43B6-9361-A7A230595EBB}"/>
            </a:ext>
          </a:extLst>
        </xdr:cNvPr>
        <xdr:cNvCxnSpPr/>
      </xdr:nvCxnSpPr>
      <xdr:spPr>
        <a:xfrm flipH="1" flipV="1">
          <a:off x="10508733" y="37666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C28756E6-0388-4593-B806-67381CF6331E}"/>
            </a:ext>
          </a:extLst>
        </xdr:cNvPr>
        <xdr:cNvCxnSpPr/>
      </xdr:nvCxnSpPr>
      <xdr:spPr>
        <a:xfrm>
          <a:off x="12456163" y="45058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E90C2B96-ADCC-4273-8FEE-3C3254FC10B9}"/>
            </a:ext>
          </a:extLst>
        </xdr:cNvPr>
        <xdr:cNvCxnSpPr/>
      </xdr:nvCxnSpPr>
      <xdr:spPr>
        <a:xfrm flipV="1">
          <a:off x="12450898" y="44959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3D3DA9DA-1038-4BA3-B219-92D429C6548C}"/>
            </a:ext>
          </a:extLst>
        </xdr:cNvPr>
        <xdr:cNvCxnSpPr/>
      </xdr:nvCxnSpPr>
      <xdr:spPr>
        <a:xfrm>
          <a:off x="10242919" y="50710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065D9C9C-F93B-4078-8E88-BDA133F3013F}"/>
            </a:ext>
          </a:extLst>
        </xdr:cNvPr>
        <xdr:cNvCxnSpPr/>
      </xdr:nvCxnSpPr>
      <xdr:spPr>
        <a:xfrm flipH="1">
          <a:off x="11549838" y="50699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161210</xdr:colOff>
      <xdr:row>183</xdr:row>
      <xdr:rowOff>127004</xdr:rowOff>
    </xdr:from>
    <xdr:to>
      <xdr:col>15</xdr:col>
      <xdr:colOff>50700</xdr:colOff>
      <xdr:row>183</xdr:row>
      <xdr:rowOff>127004</xdr:rowOff>
    </xdr:to>
    <xdr:cxnSp macro="">
      <xdr:nvCxnSpPr>
        <xdr:cNvPr id="36" name="Straight Connector 35">
          <a:extLst>
            <a:ext uri="{FF2B5EF4-FFF2-40B4-BE49-F238E27FC236}">
              <a16:creationId xmlns:a16="http://schemas.microsoft.com/office/drawing/2014/main" id="{C4DCF166-4FBA-416F-ADF0-79016A703BD7}"/>
            </a:ext>
          </a:extLst>
        </xdr:cNvPr>
        <xdr:cNvCxnSpPr/>
      </xdr:nvCxnSpPr>
      <xdr:spPr>
        <a:xfrm>
          <a:off x="8670210" y="35030837"/>
          <a:ext cx="203790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3757F4BF-1BD5-419F-81C1-2AF59728437E}"/>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CE789E5C-2B79-4180-92BA-F234F003B437}"/>
            </a:ext>
          </a:extLst>
        </xdr:cNvPr>
        <xdr:cNvCxnSpPr/>
      </xdr:nvCxnSpPr>
      <xdr:spPr>
        <a:xfrm flipV="1">
          <a:off x="8098243" y="5068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ADC4F286-2A6D-47E7-9D4D-8E9597E5A8EA}"/>
            </a:ext>
          </a:extLst>
        </xdr:cNvPr>
        <xdr:cNvCxnSpPr/>
      </xdr:nvCxnSpPr>
      <xdr:spPr>
        <a:xfrm flipV="1">
          <a:off x="7383868" y="37001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B2B42FD8-B5B2-4C70-B654-B24E3292BDC8}"/>
            </a:ext>
          </a:extLst>
        </xdr:cNvPr>
        <xdr:cNvCxnSpPr/>
      </xdr:nvCxnSpPr>
      <xdr:spPr>
        <a:xfrm flipV="1">
          <a:off x="3850093" y="40973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E2F06C7C-4B70-4A6F-85C3-4F7C952C9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48911B47-30D4-40BC-9BA5-8474E1818A79}"/>
            </a:ext>
          </a:extLst>
        </xdr:cNvPr>
        <xdr:cNvCxnSpPr/>
      </xdr:nvCxnSpPr>
      <xdr:spPr>
        <a:xfrm>
          <a:off x="10613951" y="34254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115A4DE3-5754-4B01-A611-A96BB5B938DD}"/>
            </a:ext>
          </a:extLst>
        </xdr:cNvPr>
        <xdr:cNvCxnSpPr/>
      </xdr:nvCxnSpPr>
      <xdr:spPr>
        <a:xfrm>
          <a:off x="2428211" y="34309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612613BA-0A43-49DB-9272-68709C02537E}"/>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7D323636-C216-4A1D-B96E-7259EF55F041}"/>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C4BEAA27-FE8A-40CC-93B0-48766A5C1208}"/>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DD2D9958-1CC5-4A7D-9708-6115B886C9FD}"/>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F3330899-CB76-4DC7-A4CC-4283D5A69C96}"/>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E10ACACB-C39F-458C-8BF8-E08B96DB99F5}"/>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B4298597-4F0D-4555-B08F-5B79D2C669BB}"/>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1E1713CE-32FC-4C8D-A707-C09E644F2A6F}"/>
            </a:ext>
          </a:extLst>
        </xdr:cNvPr>
        <xdr:cNvCxnSpPr/>
      </xdr:nvCxnSpPr>
      <xdr:spPr>
        <a:xfrm>
          <a:off x="2483674" y="383529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A8C1D3D0-43F0-4BF8-AD68-4F7F8CA665D6}"/>
            </a:ext>
          </a:extLst>
        </xdr:cNvPr>
        <xdr:cNvCxnSpPr/>
      </xdr:nvCxnSpPr>
      <xdr:spPr>
        <a:xfrm flipH="1" flipV="1">
          <a:off x="11901488" y="407238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2C07EDCF-D513-45EC-9861-100D1817BEA3}"/>
            </a:ext>
          </a:extLst>
        </xdr:cNvPr>
        <xdr:cNvCxnSpPr/>
      </xdr:nvCxnSpPr>
      <xdr:spPr>
        <a:xfrm flipH="1" flipV="1">
          <a:off x="10565341" y="57386008"/>
          <a:ext cx="15324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C6723848-A0A1-4028-99D7-949B924387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629746D5-2941-44B4-BD3F-4C989F8B0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24000AF7-213A-4FA1-B119-CA23FCE5D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33F4B853-4AA4-4CFF-B409-530700527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59CFF544-963E-4452-9078-4D511EFFD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39943280-F0A2-4200-A0FB-2364B6C72B40}"/>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B9989B6E-E6D2-4E9C-9C4C-91D4C9ADAEB3}"/>
            </a:ext>
          </a:extLst>
        </xdr:cNvPr>
        <xdr:cNvCxnSpPr/>
      </xdr:nvCxnSpPr>
      <xdr:spPr>
        <a:xfrm>
          <a:off x="6693096" y="42595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CB6750ED-B00E-4F80-9CE3-B2A1B931F3C5}"/>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EC55F12F-3A50-4B96-8D74-0D09AC0917A5}"/>
            </a:ext>
          </a:extLst>
        </xdr:cNvPr>
        <xdr:cNvCxnSpPr/>
      </xdr:nvCxnSpPr>
      <xdr:spPr>
        <a:xfrm flipV="1">
          <a:off x="5306483" y="4819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429FD082-EC73-4B54-BD4F-9D3F4E48BB8C}"/>
            </a:ext>
          </a:extLst>
        </xdr:cNvPr>
        <xdr:cNvCxnSpPr/>
      </xdr:nvCxnSpPr>
      <xdr:spPr>
        <a:xfrm>
          <a:off x="6670945" y="48288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16BC7FAA-1833-4C29-846F-C4535C8A411A}"/>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6428D740-0E2F-4E49-A2D0-186C6C34C5A5}"/>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30E130C9-7D22-410E-8D59-BB34EC9843CF}"/>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8CCACA49-08F9-4364-8A30-26D6246C1AA8}"/>
            </a:ext>
          </a:extLst>
        </xdr:cNvPr>
        <xdr:cNvCxnSpPr/>
      </xdr:nvCxnSpPr>
      <xdr:spPr>
        <a:xfrm flipV="1">
          <a:off x="10231842" y="34154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D8D774C1-35C1-4752-AE9E-CEA659257B20}"/>
            </a:ext>
          </a:extLst>
        </xdr:cNvPr>
        <xdr:cNvCxnSpPr/>
      </xdr:nvCxnSpPr>
      <xdr:spPr>
        <a:xfrm>
          <a:off x="6007395" y="34154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7CC4A476-0732-41AF-930C-D9FA3BF44653}"/>
            </a:ext>
          </a:extLst>
        </xdr:cNvPr>
        <xdr:cNvCxnSpPr/>
      </xdr:nvCxnSpPr>
      <xdr:spPr>
        <a:xfrm>
          <a:off x="6018471" y="34154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7D061B80-90E8-40F0-99FB-6D4FC5861C49}"/>
            </a:ext>
          </a:extLst>
        </xdr:cNvPr>
        <xdr:cNvCxnSpPr/>
      </xdr:nvCxnSpPr>
      <xdr:spPr>
        <a:xfrm flipV="1">
          <a:off x="3850094" y="38273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9C38B9BC-2B03-477F-97BC-1F0E1FABECAE}"/>
            </a:ext>
          </a:extLst>
        </xdr:cNvPr>
        <xdr:cNvCxnSpPr/>
      </xdr:nvCxnSpPr>
      <xdr:spPr>
        <a:xfrm>
          <a:off x="4577095" y="38284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F1BE2223-BCE0-47F3-BC27-F38E03F6E456}"/>
            </a:ext>
          </a:extLst>
        </xdr:cNvPr>
        <xdr:cNvCxnSpPr/>
      </xdr:nvCxnSpPr>
      <xdr:spPr>
        <a:xfrm>
          <a:off x="2428211" y="34309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4AB18BA8-2EDD-49AA-8261-C91A8ADD8CF2}"/>
            </a:ext>
          </a:extLst>
        </xdr:cNvPr>
        <xdr:cNvCxnSpPr/>
      </xdr:nvCxnSpPr>
      <xdr:spPr>
        <a:xfrm>
          <a:off x="3850094" y="40928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A3318398-FA61-4F6E-BC94-0410CC9D944F}"/>
            </a:ext>
          </a:extLst>
        </xdr:cNvPr>
        <xdr:cNvCxnSpPr/>
      </xdr:nvCxnSpPr>
      <xdr:spPr>
        <a:xfrm flipV="1">
          <a:off x="3850094" y="40782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ADB51002-D095-411B-AD1A-5C88CB930726}"/>
            </a:ext>
          </a:extLst>
        </xdr:cNvPr>
        <xdr:cNvCxnSpPr/>
      </xdr:nvCxnSpPr>
      <xdr:spPr>
        <a:xfrm>
          <a:off x="12474871" y="40793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DD6592CF-A010-48AE-A6EB-45105B877A79}"/>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9BD55695-C5FB-4E52-9F01-FEF1BDB27EC2}"/>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D7F682CA-F801-42D5-9ED7-2794552C2603}"/>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4BCCDC81-09F3-4BB7-AEDC-B50459B57845}"/>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36220A28-281A-4411-BEB5-90B925B77B05}"/>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FD009D7E-1648-4256-96A9-B6E5318B4823}"/>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1AE18714-E205-4711-A486-3D25BB8C7614}"/>
            </a:ext>
          </a:extLst>
        </xdr:cNvPr>
        <xdr:cNvCxnSpPr/>
      </xdr:nvCxnSpPr>
      <xdr:spPr>
        <a:xfrm flipV="1">
          <a:off x="8901223" y="37701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D96B3295-B929-44FF-B415-34F122D9B4AA}"/>
            </a:ext>
          </a:extLst>
        </xdr:cNvPr>
        <xdr:cNvCxnSpPr/>
      </xdr:nvCxnSpPr>
      <xdr:spPr>
        <a:xfrm flipH="1" flipV="1">
          <a:off x="10508733" y="37666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95812112-0AE3-42FD-B7C9-12DA5E273E2C}"/>
            </a:ext>
          </a:extLst>
        </xdr:cNvPr>
        <xdr:cNvCxnSpPr/>
      </xdr:nvCxnSpPr>
      <xdr:spPr>
        <a:xfrm>
          <a:off x="12456163" y="45058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36F9DFF3-B1AE-4742-95F2-FBD3BDC8B4E9}"/>
            </a:ext>
          </a:extLst>
        </xdr:cNvPr>
        <xdr:cNvCxnSpPr/>
      </xdr:nvCxnSpPr>
      <xdr:spPr>
        <a:xfrm flipV="1">
          <a:off x="12450898" y="44959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C055AE7F-276A-4848-97AD-400DD5BBED67}"/>
            </a:ext>
          </a:extLst>
        </xdr:cNvPr>
        <xdr:cNvCxnSpPr/>
      </xdr:nvCxnSpPr>
      <xdr:spPr>
        <a:xfrm>
          <a:off x="10242919" y="50710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10D9FD91-1C62-4429-94AC-443BE2A15D48}"/>
            </a:ext>
          </a:extLst>
        </xdr:cNvPr>
        <xdr:cNvCxnSpPr/>
      </xdr:nvCxnSpPr>
      <xdr:spPr>
        <a:xfrm flipH="1">
          <a:off x="11549838" y="50699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6" name="Straight Connector 35">
          <a:extLst>
            <a:ext uri="{FF2B5EF4-FFF2-40B4-BE49-F238E27FC236}">
              <a16:creationId xmlns:a16="http://schemas.microsoft.com/office/drawing/2014/main" id="{45F4D2FD-6B15-4ECD-A0A5-3A1198724CAA}"/>
            </a:ext>
          </a:extLst>
        </xdr:cNvPr>
        <xdr:cNvCxnSpPr/>
      </xdr:nvCxnSpPr>
      <xdr:spPr>
        <a:xfrm>
          <a:off x="8513577" y="35242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839A6B52-2BD0-4FEA-B3C0-71828C4D54E2}"/>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824B8199-6338-41C6-A98A-88FDC7662D42}"/>
            </a:ext>
          </a:extLst>
        </xdr:cNvPr>
        <xdr:cNvCxnSpPr/>
      </xdr:nvCxnSpPr>
      <xdr:spPr>
        <a:xfrm flipV="1">
          <a:off x="8098243" y="5068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C95DD897-4531-4169-B61B-64D29D932527}"/>
            </a:ext>
          </a:extLst>
        </xdr:cNvPr>
        <xdr:cNvCxnSpPr/>
      </xdr:nvCxnSpPr>
      <xdr:spPr>
        <a:xfrm flipV="1">
          <a:off x="7383868" y="37001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322F2398-CAAC-41BC-86FA-765100F35C6E}"/>
            </a:ext>
          </a:extLst>
        </xdr:cNvPr>
        <xdr:cNvCxnSpPr/>
      </xdr:nvCxnSpPr>
      <xdr:spPr>
        <a:xfrm flipV="1">
          <a:off x="3850093" y="40973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0D27317E-D712-4CC4-AA14-11260746D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ED5F4B2A-574A-4485-B0F4-F31D11076B68}"/>
            </a:ext>
          </a:extLst>
        </xdr:cNvPr>
        <xdr:cNvCxnSpPr/>
      </xdr:nvCxnSpPr>
      <xdr:spPr>
        <a:xfrm>
          <a:off x="10613951" y="34254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B1533BB1-95C9-4B0F-9647-82CD89D32000}"/>
            </a:ext>
          </a:extLst>
        </xdr:cNvPr>
        <xdr:cNvCxnSpPr/>
      </xdr:nvCxnSpPr>
      <xdr:spPr>
        <a:xfrm>
          <a:off x="2428211" y="34309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B9A4C9B6-AEBD-4CBA-9B14-3B8B0A5AB529}"/>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DF5EAAC3-C42D-4582-99AE-3A89F3851685}"/>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DDB2594C-609D-4BF0-B687-F2BFADF08896}"/>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1AC072C2-8513-4EE9-B96B-413AC318488D}"/>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4AFBC0D0-60C6-4174-B041-6DAFEAF3DA69}"/>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C70EEC23-CB75-4036-A326-BF77F488AF24}"/>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93564F3E-ADE3-4BE8-B835-437420631FFB}"/>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C178A95F-7862-4D35-AA4B-FAA46AB24DD2}"/>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322B352C-CEF8-436F-A70D-1A03C92FE222}"/>
            </a:ext>
          </a:extLst>
        </xdr:cNvPr>
        <xdr:cNvCxnSpPr/>
      </xdr:nvCxnSpPr>
      <xdr:spPr>
        <a:xfrm flipH="1" flipV="1">
          <a:off x="11882438" y="40728638"/>
          <a:ext cx="1047749"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687916</xdr:colOff>
      <xdr:row>301</xdr:row>
      <xdr:rowOff>74083</xdr:rowOff>
    </xdr:from>
    <xdr:to>
      <xdr:col>17</xdr:col>
      <xdr:colOff>10582</xdr:colOff>
      <xdr:row>304</xdr:row>
      <xdr:rowOff>74083</xdr:rowOff>
    </xdr:to>
    <xdr:cxnSp macro="">
      <xdr:nvCxnSpPr>
        <xdr:cNvPr id="53" name="Straight Arrow Connector 52">
          <a:extLst>
            <a:ext uri="{FF2B5EF4-FFF2-40B4-BE49-F238E27FC236}">
              <a16:creationId xmlns:a16="http://schemas.microsoft.com/office/drawing/2014/main" id="{DCDA88E3-B820-4213-A55C-B2CE7B6FC1B3}"/>
            </a:ext>
          </a:extLst>
        </xdr:cNvPr>
        <xdr:cNvCxnSpPr/>
      </xdr:nvCxnSpPr>
      <xdr:spPr>
        <a:xfrm flipH="1" flipV="1">
          <a:off x="10625666" y="57382833"/>
          <a:ext cx="15451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665A35CA-B4C7-4B4E-B364-5726F1AAD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03B92F7D-F800-4273-B678-A868AE263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9B0286E2-8ED5-4BC7-AD8F-C134F3098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63746DD9-C1E9-4351-95A3-82C82593B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31648CE7-F05C-4CAD-B029-29BC16AA9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C46F2D99-AF69-4FA6-9E5B-7E314CEC1CEB}"/>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F5AD6161-9602-4B75-882E-43567538C209}"/>
            </a:ext>
          </a:extLst>
        </xdr:cNvPr>
        <xdr:cNvCxnSpPr/>
      </xdr:nvCxnSpPr>
      <xdr:spPr>
        <a:xfrm>
          <a:off x="6693096" y="42595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EC26D4A1-4686-4D59-95A7-DD6A68F8174E}"/>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A5484CCC-72D8-4B52-AF4E-B1FC1632022E}"/>
            </a:ext>
          </a:extLst>
        </xdr:cNvPr>
        <xdr:cNvCxnSpPr/>
      </xdr:nvCxnSpPr>
      <xdr:spPr>
        <a:xfrm flipV="1">
          <a:off x="5306483" y="4819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2F224E7D-33E7-4E9D-8691-25A60B44EA54}"/>
            </a:ext>
          </a:extLst>
        </xdr:cNvPr>
        <xdr:cNvCxnSpPr/>
      </xdr:nvCxnSpPr>
      <xdr:spPr>
        <a:xfrm>
          <a:off x="6670945" y="48288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BC799BB0-A606-41AF-9FAF-32860A781117}"/>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AD33482-4697-4BEC-8816-DE51F0E5ACEE}"/>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CF25DE0C-6230-48AA-87CD-0F93D0A66603}"/>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3C125D71-50C4-4841-8941-C352F55A93C3}"/>
            </a:ext>
          </a:extLst>
        </xdr:cNvPr>
        <xdr:cNvCxnSpPr/>
      </xdr:nvCxnSpPr>
      <xdr:spPr>
        <a:xfrm flipV="1">
          <a:off x="10231842" y="34154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26F6B879-F9C5-439D-824C-09DB296F4A63}"/>
            </a:ext>
          </a:extLst>
        </xdr:cNvPr>
        <xdr:cNvCxnSpPr/>
      </xdr:nvCxnSpPr>
      <xdr:spPr>
        <a:xfrm>
          <a:off x="6007395" y="34154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D394B043-AE58-469C-B7A8-F2595A3C072D}"/>
            </a:ext>
          </a:extLst>
        </xdr:cNvPr>
        <xdr:cNvCxnSpPr/>
      </xdr:nvCxnSpPr>
      <xdr:spPr>
        <a:xfrm>
          <a:off x="6018471" y="34154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E680C020-D0E2-4C03-8306-5303217DF576}"/>
            </a:ext>
          </a:extLst>
        </xdr:cNvPr>
        <xdr:cNvCxnSpPr/>
      </xdr:nvCxnSpPr>
      <xdr:spPr>
        <a:xfrm flipV="1">
          <a:off x="3850094" y="38273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358D6C0D-69AD-4AB2-BAB8-A490A3ADDCCA}"/>
            </a:ext>
          </a:extLst>
        </xdr:cNvPr>
        <xdr:cNvCxnSpPr/>
      </xdr:nvCxnSpPr>
      <xdr:spPr>
        <a:xfrm>
          <a:off x="4577095" y="38284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3F2FCC4D-1D4C-484B-8846-D1FC9B14751F}"/>
            </a:ext>
          </a:extLst>
        </xdr:cNvPr>
        <xdr:cNvCxnSpPr/>
      </xdr:nvCxnSpPr>
      <xdr:spPr>
        <a:xfrm>
          <a:off x="2428211" y="34309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E19534AC-64BC-42DF-8FA1-4E565BE3FC9A}"/>
            </a:ext>
          </a:extLst>
        </xdr:cNvPr>
        <xdr:cNvCxnSpPr/>
      </xdr:nvCxnSpPr>
      <xdr:spPr>
        <a:xfrm>
          <a:off x="3850094" y="40928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C0D8B7CB-DFFD-4499-957F-3F2CB2210560}"/>
            </a:ext>
          </a:extLst>
        </xdr:cNvPr>
        <xdr:cNvCxnSpPr/>
      </xdr:nvCxnSpPr>
      <xdr:spPr>
        <a:xfrm flipV="1">
          <a:off x="3850094" y="40782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74242F6D-6A67-4F30-B027-29CF895CF2B2}"/>
            </a:ext>
          </a:extLst>
        </xdr:cNvPr>
        <xdr:cNvCxnSpPr/>
      </xdr:nvCxnSpPr>
      <xdr:spPr>
        <a:xfrm>
          <a:off x="12474871" y="40793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DDED9610-61D4-4D16-9C06-FABEC1A10158}"/>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5DA56910-6D4E-4566-90AF-FE385C5A4C31}"/>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A0826C9D-3285-4A70-8A60-09558AA00E0A}"/>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B7A96FD1-E282-4EB9-9D9D-27E18A9892C3}"/>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8D3FF2B7-4F7C-414E-AE34-CDDA58EB05C5}"/>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21788EAB-D52B-4F70-90DA-7BA4CCBDEB0C}"/>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43CD8242-27AC-494F-A21C-FC473218EA98}"/>
            </a:ext>
          </a:extLst>
        </xdr:cNvPr>
        <xdr:cNvCxnSpPr/>
      </xdr:nvCxnSpPr>
      <xdr:spPr>
        <a:xfrm flipV="1">
          <a:off x="8901223" y="37701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CAFD7514-DD77-4BFD-B2AD-58280A0BEB07}"/>
            </a:ext>
          </a:extLst>
        </xdr:cNvPr>
        <xdr:cNvCxnSpPr/>
      </xdr:nvCxnSpPr>
      <xdr:spPr>
        <a:xfrm flipH="1" flipV="1">
          <a:off x="10508733" y="37666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AAC82E78-9289-4641-92B2-764E39866826}"/>
            </a:ext>
          </a:extLst>
        </xdr:cNvPr>
        <xdr:cNvCxnSpPr/>
      </xdr:nvCxnSpPr>
      <xdr:spPr>
        <a:xfrm>
          <a:off x="12456163" y="45058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F2EAD047-8F01-4CEE-B840-B254E2C7E4F3}"/>
            </a:ext>
          </a:extLst>
        </xdr:cNvPr>
        <xdr:cNvCxnSpPr/>
      </xdr:nvCxnSpPr>
      <xdr:spPr>
        <a:xfrm flipV="1">
          <a:off x="12450898" y="44959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0FE5F03C-E263-461E-A380-416F191B3D82}"/>
            </a:ext>
          </a:extLst>
        </xdr:cNvPr>
        <xdr:cNvCxnSpPr/>
      </xdr:nvCxnSpPr>
      <xdr:spPr>
        <a:xfrm>
          <a:off x="10242919" y="50710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968950E8-41AF-4152-96AB-20C986B82260}"/>
            </a:ext>
          </a:extLst>
        </xdr:cNvPr>
        <xdr:cNvCxnSpPr/>
      </xdr:nvCxnSpPr>
      <xdr:spPr>
        <a:xfrm flipH="1">
          <a:off x="11549838" y="50699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6" name="Straight Connector 35">
          <a:extLst>
            <a:ext uri="{FF2B5EF4-FFF2-40B4-BE49-F238E27FC236}">
              <a16:creationId xmlns:a16="http://schemas.microsoft.com/office/drawing/2014/main" id="{3FB9D3FF-88EA-4CA1-BABF-FDF08BCD8512}"/>
            </a:ext>
          </a:extLst>
        </xdr:cNvPr>
        <xdr:cNvCxnSpPr/>
      </xdr:nvCxnSpPr>
      <xdr:spPr>
        <a:xfrm>
          <a:off x="8513577" y="35242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6CE489DE-39AE-401E-A050-57F71B52259F}"/>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F7CFFE2C-334E-4041-AC0A-254FCB26DA1A}"/>
            </a:ext>
          </a:extLst>
        </xdr:cNvPr>
        <xdr:cNvCxnSpPr/>
      </xdr:nvCxnSpPr>
      <xdr:spPr>
        <a:xfrm flipV="1">
          <a:off x="8098243" y="5068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3CCED6B8-E732-4184-9008-EDAB1D3DFCAB}"/>
            </a:ext>
          </a:extLst>
        </xdr:cNvPr>
        <xdr:cNvCxnSpPr/>
      </xdr:nvCxnSpPr>
      <xdr:spPr>
        <a:xfrm flipV="1">
          <a:off x="7383868" y="37001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1FE8A38F-BE2D-42DA-8788-FE914D7231B5}"/>
            </a:ext>
          </a:extLst>
        </xdr:cNvPr>
        <xdr:cNvCxnSpPr/>
      </xdr:nvCxnSpPr>
      <xdr:spPr>
        <a:xfrm flipV="1">
          <a:off x="3850093" y="40973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A57F664B-CEBD-446B-9EE5-E0EBBADF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D18B1978-FECF-4928-B7B2-AC6FA2CC9961}"/>
            </a:ext>
          </a:extLst>
        </xdr:cNvPr>
        <xdr:cNvCxnSpPr/>
      </xdr:nvCxnSpPr>
      <xdr:spPr>
        <a:xfrm>
          <a:off x="10613951" y="34254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4A49023B-398B-4CC0-A8DC-55BE2C85188F}"/>
            </a:ext>
          </a:extLst>
        </xdr:cNvPr>
        <xdr:cNvCxnSpPr/>
      </xdr:nvCxnSpPr>
      <xdr:spPr>
        <a:xfrm>
          <a:off x="2428211" y="34309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E38E2BA8-FA10-4325-A2F3-21D2ECD623B2}"/>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BAE3E493-A700-491D-B255-4C558E4F1BD2}"/>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954DE212-9BAE-4733-AAC6-C80FFB458837}"/>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E0E50B81-DD95-4814-A65B-95D6A3FF3A19}"/>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1F9CA5CE-6C93-40FF-9E6B-6975AC0A199D}"/>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DB93A6A2-63C5-4F60-8BCD-1EFFFF5829A1}"/>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0794B4AB-B18D-4DB6-A99F-3A9A3F429525}"/>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85E06205-F533-43D3-AF96-3347A0EDE3EE}"/>
            </a:ext>
          </a:extLst>
        </xdr:cNvPr>
        <xdr:cNvCxnSpPr/>
      </xdr:nvCxnSpPr>
      <xdr:spPr>
        <a:xfrm>
          <a:off x="2483674" y="383529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6941D654-0ABD-4F7D-8FCB-DD23F6243772}"/>
            </a:ext>
          </a:extLst>
        </xdr:cNvPr>
        <xdr:cNvCxnSpPr/>
      </xdr:nvCxnSpPr>
      <xdr:spPr>
        <a:xfrm flipH="1" flipV="1">
          <a:off x="11901488" y="407238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455083</xdr:colOff>
      <xdr:row>301</xdr:row>
      <xdr:rowOff>127000</xdr:rowOff>
    </xdr:from>
    <xdr:to>
      <xdr:col>17</xdr:col>
      <xdr:colOff>497416</xdr:colOff>
      <xdr:row>304</xdr:row>
      <xdr:rowOff>127000</xdr:rowOff>
    </xdr:to>
    <xdr:cxnSp macro="">
      <xdr:nvCxnSpPr>
        <xdr:cNvPr id="53" name="Straight Arrow Connector 52">
          <a:extLst>
            <a:ext uri="{FF2B5EF4-FFF2-40B4-BE49-F238E27FC236}">
              <a16:creationId xmlns:a16="http://schemas.microsoft.com/office/drawing/2014/main" id="{CE6EF7CF-031B-47E6-ADE7-D0BD5807B752}"/>
            </a:ext>
          </a:extLst>
        </xdr:cNvPr>
        <xdr:cNvCxnSpPr/>
      </xdr:nvCxnSpPr>
      <xdr:spPr>
        <a:xfrm flipH="1" flipV="1">
          <a:off x="11112500" y="57435750"/>
          <a:ext cx="15451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275169</xdr:colOff>
      <xdr:row>32</xdr:row>
      <xdr:rowOff>84667</xdr:rowOff>
    </xdr:from>
    <xdr:to>
      <xdr:col>18</xdr:col>
      <xdr:colOff>137584</xdr:colOff>
      <xdr:row>42</xdr:row>
      <xdr:rowOff>8467</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340636</xdr:colOff>
      <xdr:row>65</xdr:row>
      <xdr:rowOff>152599</xdr:rowOff>
    </xdr:from>
    <xdr:to>
      <xdr:col>18</xdr:col>
      <xdr:colOff>327591</xdr:colOff>
      <xdr:row>75</xdr:row>
      <xdr:rowOff>27814</xdr:rowOff>
    </xdr:to>
    <xdr:graphicFrame macro="">
      <xdr:nvGraphicFramePr>
        <xdr:cNvPr id="16" name="Chart 15">
          <a:extLst>
            <a:ext uri="{FF2B5EF4-FFF2-40B4-BE49-F238E27FC236}">
              <a16:creationId xmlns:a16="http://schemas.microsoft.com/office/drawing/2014/main" id="{00000000-0008-0000-0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79373</xdr:colOff>
      <xdr:row>48</xdr:row>
      <xdr:rowOff>20107</xdr:rowOff>
    </xdr:from>
    <xdr:to>
      <xdr:col>12</xdr:col>
      <xdr:colOff>137583</xdr:colOff>
      <xdr:row>62</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346909</xdr:colOff>
      <xdr:row>75</xdr:row>
      <xdr:rowOff>121338</xdr:rowOff>
    </xdr:from>
    <xdr:to>
      <xdr:col>18</xdr:col>
      <xdr:colOff>455575</xdr:colOff>
      <xdr:row>87</xdr:row>
      <xdr:rowOff>7137</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167</xdr:row>
      <xdr:rowOff>31750</xdr:rowOff>
    </xdr:from>
    <xdr:to>
      <xdr:col>7</xdr:col>
      <xdr:colOff>391583</xdr:colOff>
      <xdr:row>168</xdr:row>
      <xdr:rowOff>10583</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V="1">
          <a:off x="5270500" y="28003500"/>
          <a:ext cx="0" cy="16933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268816</xdr:colOff>
      <xdr:row>168</xdr:row>
      <xdr:rowOff>31750</xdr:rowOff>
    </xdr:from>
    <xdr:to>
      <xdr:col>9</xdr:col>
      <xdr:colOff>268816</xdr:colOff>
      <xdr:row>169</xdr:row>
      <xdr:rowOff>52917</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a:off x="6544733" y="27813000"/>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197</xdr:row>
      <xdr:rowOff>31750</xdr:rowOff>
    </xdr:from>
    <xdr:to>
      <xdr:col>7</xdr:col>
      <xdr:colOff>391583</xdr:colOff>
      <xdr:row>198</xdr:row>
      <xdr:rowOff>10583</xdr:rowOff>
    </xdr:to>
    <xdr:cxnSp macro="">
      <xdr:nvCxnSpPr>
        <xdr:cNvPr id="29" name="Straight Arrow Connector 28">
          <a:extLst>
            <a:ext uri="{FF2B5EF4-FFF2-40B4-BE49-F238E27FC236}">
              <a16:creationId xmlns:a16="http://schemas.microsoft.com/office/drawing/2014/main" id="{00000000-0008-0000-0100-00001D000000}"/>
            </a:ext>
          </a:extLst>
        </xdr:cNvPr>
        <xdr:cNvCxnSpPr/>
      </xdr:nvCxnSpPr>
      <xdr:spPr>
        <a:xfrm flipV="1">
          <a:off x="5264839" y="27687477"/>
          <a:ext cx="0" cy="1671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268816</xdr:colOff>
      <xdr:row>198</xdr:row>
      <xdr:rowOff>31750</xdr:rowOff>
    </xdr:from>
    <xdr:to>
      <xdr:col>9</xdr:col>
      <xdr:colOff>268816</xdr:colOff>
      <xdr:row>199</xdr:row>
      <xdr:rowOff>52917</xdr:rowOff>
    </xdr:to>
    <xdr:cxnSp macro="">
      <xdr:nvCxnSpPr>
        <xdr:cNvPr id="30" name="Straight Arrow Connector 29">
          <a:extLst>
            <a:ext uri="{FF2B5EF4-FFF2-40B4-BE49-F238E27FC236}">
              <a16:creationId xmlns:a16="http://schemas.microsoft.com/office/drawing/2014/main" id="{00000000-0008-0000-0100-00001E000000}"/>
            </a:ext>
          </a:extLst>
        </xdr:cNvPr>
        <xdr:cNvCxnSpPr/>
      </xdr:nvCxnSpPr>
      <xdr:spPr>
        <a:xfrm>
          <a:off x="6537595" y="27875762"/>
          <a:ext cx="0" cy="2094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491067</xdr:colOff>
      <xdr:row>197</xdr:row>
      <xdr:rowOff>84666</xdr:rowOff>
    </xdr:from>
    <xdr:to>
      <xdr:col>1</xdr:col>
      <xdr:colOff>491067</xdr:colOff>
      <xdr:row>198</xdr:row>
      <xdr:rowOff>105833</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1100224" y="27740393"/>
          <a:ext cx="0" cy="2094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3" name="Straight Arrow Connector 12">
          <a:extLst>
            <a:ext uri="{FF2B5EF4-FFF2-40B4-BE49-F238E27FC236}">
              <a16:creationId xmlns:a16="http://schemas.microsoft.com/office/drawing/2014/main" id="{00000000-0008-0000-0100-00000D000000}"/>
            </a:ext>
          </a:extLst>
        </xdr:cNvPr>
        <xdr:cNvCxnSpPr/>
      </xdr:nvCxnSpPr>
      <xdr:spPr>
        <a:xfrm>
          <a:off x="5471338" y="1439825"/>
          <a:ext cx="335590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354417</xdr:colOff>
      <xdr:row>123</xdr:row>
      <xdr:rowOff>2</xdr:rowOff>
    </xdr:from>
    <xdr:to>
      <xdr:col>14</xdr:col>
      <xdr:colOff>354417</xdr:colOff>
      <xdr:row>124</xdr:row>
      <xdr:rowOff>11078</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flipV="1">
          <a:off x="10174692" y="2171700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123</xdr:row>
      <xdr:rowOff>1</xdr:rowOff>
    </xdr:from>
    <xdr:to>
      <xdr:col>8</xdr:col>
      <xdr:colOff>387645</xdr:colOff>
      <xdr:row>124</xdr:row>
      <xdr:rowOff>11076</xdr:rowOff>
    </xdr:to>
    <xdr:cxnSp macro="">
      <xdr:nvCxnSpPr>
        <xdr:cNvPr id="22" name="Straight Arrow Connector 21">
          <a:extLst>
            <a:ext uri="{FF2B5EF4-FFF2-40B4-BE49-F238E27FC236}">
              <a16:creationId xmlns:a16="http://schemas.microsoft.com/office/drawing/2014/main" id="{00000000-0008-0000-0100-000016000000}"/>
            </a:ext>
          </a:extLst>
        </xdr:cNvPr>
        <xdr:cNvCxnSpPr/>
      </xdr:nvCxnSpPr>
      <xdr:spPr>
        <a:xfrm>
          <a:off x="5950245" y="2171700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123</xdr:row>
      <xdr:rowOff>1</xdr:rowOff>
    </xdr:from>
    <xdr:to>
      <xdr:col>14</xdr:col>
      <xdr:colOff>343343</xdr:colOff>
      <xdr:row>123</xdr:row>
      <xdr:rowOff>1</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5961321" y="2171700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124</xdr:row>
      <xdr:rowOff>19495</xdr:rowOff>
    </xdr:from>
    <xdr:to>
      <xdr:col>3</xdr:col>
      <xdr:colOff>351761</xdr:colOff>
      <xdr:row>124</xdr:row>
      <xdr:rowOff>184087</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2371061" y="219269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27" name="Straight Arrow Connector 26">
          <a:extLst>
            <a:ext uri="{FF2B5EF4-FFF2-40B4-BE49-F238E27FC236}">
              <a16:creationId xmlns:a16="http://schemas.microsoft.com/office/drawing/2014/main" id="{00000000-0008-0000-0100-00001B000000}"/>
            </a:ext>
          </a:extLst>
        </xdr:cNvPr>
        <xdr:cNvCxnSpPr/>
      </xdr:nvCxnSpPr>
      <xdr:spPr>
        <a:xfrm>
          <a:off x="2421762" y="26165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145</xdr:row>
      <xdr:rowOff>11086</xdr:rowOff>
    </xdr:from>
    <xdr:to>
      <xdr:col>5</xdr:col>
      <xdr:colOff>354419</xdr:colOff>
      <xdr:row>145</xdr:row>
      <xdr:rowOff>148246</xdr:rowOff>
    </xdr:to>
    <xdr:cxnSp macro="">
      <xdr:nvCxnSpPr>
        <xdr:cNvPr id="32" name="Straight Arrow Connector 31">
          <a:extLst>
            <a:ext uri="{FF2B5EF4-FFF2-40B4-BE49-F238E27FC236}">
              <a16:creationId xmlns:a16="http://schemas.microsoft.com/office/drawing/2014/main" id="{00000000-0008-0000-0100-000020000000}"/>
            </a:ext>
          </a:extLst>
        </xdr:cNvPr>
        <xdr:cNvCxnSpPr/>
      </xdr:nvCxnSpPr>
      <xdr:spPr>
        <a:xfrm flipV="1">
          <a:off x="3792944" y="26081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145</xdr:row>
      <xdr:rowOff>22156</xdr:rowOff>
    </xdr:from>
    <xdr:to>
      <xdr:col>6</xdr:col>
      <xdr:colOff>376570</xdr:colOff>
      <xdr:row>145</xdr:row>
      <xdr:rowOff>159316</xdr:rowOff>
    </xdr:to>
    <xdr:cxnSp macro="">
      <xdr:nvCxnSpPr>
        <xdr:cNvPr id="33" name="Straight Arrow Connector 32">
          <a:extLst>
            <a:ext uri="{FF2B5EF4-FFF2-40B4-BE49-F238E27FC236}">
              <a16:creationId xmlns:a16="http://schemas.microsoft.com/office/drawing/2014/main" id="{00000000-0008-0000-0100-000021000000}"/>
            </a:ext>
          </a:extLst>
        </xdr:cNvPr>
        <xdr:cNvCxnSpPr/>
      </xdr:nvCxnSpPr>
      <xdr:spPr>
        <a:xfrm>
          <a:off x="4519945" y="26092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531628</xdr:colOff>
      <xdr:row>77</xdr:row>
      <xdr:rowOff>33227</xdr:rowOff>
    </xdr:from>
    <xdr:to>
      <xdr:col>1</xdr:col>
      <xdr:colOff>641356</xdr:colOff>
      <xdr:row>82</xdr:row>
      <xdr:rowOff>97643</xdr:rowOff>
    </xdr:to>
    <xdr:sp macro="" textlink="">
      <xdr:nvSpPr>
        <xdr:cNvPr id="20" name="Left Brace 19">
          <a:extLst>
            <a:ext uri="{FF2B5EF4-FFF2-40B4-BE49-F238E27FC236}">
              <a16:creationId xmlns:a16="http://schemas.microsoft.com/office/drawing/2014/main" id="{00000000-0008-0000-0100-000014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26" name="Left Brace 25">
          <a:extLst>
            <a:ext uri="{FF2B5EF4-FFF2-40B4-BE49-F238E27FC236}">
              <a16:creationId xmlns:a16="http://schemas.microsoft.com/office/drawing/2014/main" id="{00000000-0008-0000-0100-00001A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531628</xdr:colOff>
      <xdr:row>77</xdr:row>
      <xdr:rowOff>33227</xdr:rowOff>
    </xdr:from>
    <xdr:to>
      <xdr:col>1</xdr:col>
      <xdr:colOff>641356</xdr:colOff>
      <xdr:row>82</xdr:row>
      <xdr:rowOff>97643</xdr:rowOff>
    </xdr:to>
    <xdr:sp macro="" textlink="">
      <xdr:nvSpPr>
        <xdr:cNvPr id="28" name="Left Brace 27">
          <a:extLst>
            <a:ext uri="{FF2B5EF4-FFF2-40B4-BE49-F238E27FC236}">
              <a16:creationId xmlns:a16="http://schemas.microsoft.com/office/drawing/2014/main" id="{00000000-0008-0000-0100-00001C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34" name="Left Brace 33">
          <a:extLst>
            <a:ext uri="{FF2B5EF4-FFF2-40B4-BE49-F238E27FC236}">
              <a16:creationId xmlns:a16="http://schemas.microsoft.com/office/drawing/2014/main" id="{00000000-0008-0000-0100-000022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69</xdr:row>
      <xdr:rowOff>132907</xdr:rowOff>
    </xdr:from>
    <xdr:to>
      <xdr:col>6</xdr:col>
      <xdr:colOff>598084</xdr:colOff>
      <xdr:row>69</xdr:row>
      <xdr:rowOff>132907</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5C9744D1-026A-49A8-AA0E-31B0D0E88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ACFA2EF0-D65C-4D5C-BABF-CC8E1192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B1016AAC-7DB7-40E9-826C-E06144173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F8B2297F-6C13-46F5-9BD3-C8CC56FF3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4DE6AC60-0C8A-4CA6-9F1A-F8417D29C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EE827FD5-BCA4-480B-9DC7-B043325D7B5C}"/>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B2C2573C-F23F-4638-AC71-E140B0C14BB0}"/>
            </a:ext>
          </a:extLst>
        </xdr:cNvPr>
        <xdr:cNvCxnSpPr/>
      </xdr:nvCxnSpPr>
      <xdr:spPr>
        <a:xfrm>
          <a:off x="6693096" y="42595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41ED665E-4A68-4579-9231-114C9B529CF9}"/>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0AD18A22-FC77-4C1B-95B0-19BBE49217BF}"/>
            </a:ext>
          </a:extLst>
        </xdr:cNvPr>
        <xdr:cNvCxnSpPr/>
      </xdr:nvCxnSpPr>
      <xdr:spPr>
        <a:xfrm flipV="1">
          <a:off x="5306483" y="4819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6349661F-CA4A-4A10-BDFE-6120069AF612}"/>
            </a:ext>
          </a:extLst>
        </xdr:cNvPr>
        <xdr:cNvCxnSpPr/>
      </xdr:nvCxnSpPr>
      <xdr:spPr>
        <a:xfrm>
          <a:off x="6670945" y="48288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B5783F13-4307-4FCC-9577-3EB52004C8CE}"/>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EFC0078F-E916-4D61-8CD7-E8D53CEA0868}"/>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CBE75205-3C6E-4942-AAD2-8E6DC2AB0A7F}"/>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DF93DBA5-0C3F-4C72-BF97-2C639A000E59}"/>
            </a:ext>
          </a:extLst>
        </xdr:cNvPr>
        <xdr:cNvCxnSpPr/>
      </xdr:nvCxnSpPr>
      <xdr:spPr>
        <a:xfrm flipV="1">
          <a:off x="10231842" y="34154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4AD461D0-95BA-4B29-8BD5-B8BC45C8CD8C}"/>
            </a:ext>
          </a:extLst>
        </xdr:cNvPr>
        <xdr:cNvCxnSpPr/>
      </xdr:nvCxnSpPr>
      <xdr:spPr>
        <a:xfrm>
          <a:off x="6007395" y="34154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817A3573-27DC-4EBD-869F-389D17BE6605}"/>
            </a:ext>
          </a:extLst>
        </xdr:cNvPr>
        <xdr:cNvCxnSpPr/>
      </xdr:nvCxnSpPr>
      <xdr:spPr>
        <a:xfrm>
          <a:off x="6018471" y="34154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3D2B9358-2A6F-4D29-839B-5518F03E177C}"/>
            </a:ext>
          </a:extLst>
        </xdr:cNvPr>
        <xdr:cNvCxnSpPr/>
      </xdr:nvCxnSpPr>
      <xdr:spPr>
        <a:xfrm flipV="1">
          <a:off x="3850094" y="38273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2D72C35D-8ECF-4A5E-AABC-E99C7E37E41F}"/>
            </a:ext>
          </a:extLst>
        </xdr:cNvPr>
        <xdr:cNvCxnSpPr/>
      </xdr:nvCxnSpPr>
      <xdr:spPr>
        <a:xfrm>
          <a:off x="4577095" y="38284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F0B26685-F520-48C3-B90F-4266BC9F83F3}"/>
            </a:ext>
          </a:extLst>
        </xdr:cNvPr>
        <xdr:cNvCxnSpPr/>
      </xdr:nvCxnSpPr>
      <xdr:spPr>
        <a:xfrm>
          <a:off x="2428211" y="34309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EA25C9A4-25BB-4849-8C6D-1ADB22136014}"/>
            </a:ext>
          </a:extLst>
        </xdr:cNvPr>
        <xdr:cNvCxnSpPr/>
      </xdr:nvCxnSpPr>
      <xdr:spPr>
        <a:xfrm>
          <a:off x="3850094" y="40928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60249498-691B-4A80-AE4A-F81A3F33C28B}"/>
            </a:ext>
          </a:extLst>
        </xdr:cNvPr>
        <xdr:cNvCxnSpPr/>
      </xdr:nvCxnSpPr>
      <xdr:spPr>
        <a:xfrm flipV="1">
          <a:off x="3850094" y="40782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8601469D-3B16-400E-9D22-91E6E95B5745}"/>
            </a:ext>
          </a:extLst>
        </xdr:cNvPr>
        <xdr:cNvCxnSpPr/>
      </xdr:nvCxnSpPr>
      <xdr:spPr>
        <a:xfrm>
          <a:off x="12474871" y="40793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2414FF42-9AA3-4AF4-A400-408047B11A56}"/>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A9D56D60-4DDE-4BC5-910F-C75BBCA2B5E1}"/>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07D9693B-776D-4FA6-8799-13C8B0E75949}"/>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94E5B55C-5E37-47C5-A461-54A5F9F74F74}"/>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E672EEFB-0C4A-43C0-BAA2-B8EAB7EC916D}"/>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78DBAB5F-DDE3-4849-9EBC-D305260596BC}"/>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A2BE81B3-9F05-45A8-A828-76E01A645D08}"/>
            </a:ext>
          </a:extLst>
        </xdr:cNvPr>
        <xdr:cNvCxnSpPr/>
      </xdr:nvCxnSpPr>
      <xdr:spPr>
        <a:xfrm flipV="1">
          <a:off x="8901223" y="37701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178806F9-2912-4061-898C-9E0B24C45DA7}"/>
            </a:ext>
          </a:extLst>
        </xdr:cNvPr>
        <xdr:cNvCxnSpPr/>
      </xdr:nvCxnSpPr>
      <xdr:spPr>
        <a:xfrm flipH="1" flipV="1">
          <a:off x="10508733" y="37666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199E8710-DA4F-4ADE-9FA5-E4885C55B240}"/>
            </a:ext>
          </a:extLst>
        </xdr:cNvPr>
        <xdr:cNvCxnSpPr/>
      </xdr:nvCxnSpPr>
      <xdr:spPr>
        <a:xfrm>
          <a:off x="12456163" y="45058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3360BC33-1AB6-49F3-9B24-268961B9FE0D}"/>
            </a:ext>
          </a:extLst>
        </xdr:cNvPr>
        <xdr:cNvCxnSpPr/>
      </xdr:nvCxnSpPr>
      <xdr:spPr>
        <a:xfrm flipV="1">
          <a:off x="12450898" y="44959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121BCE10-DB95-46AE-A2FB-C230E228FC0A}"/>
            </a:ext>
          </a:extLst>
        </xdr:cNvPr>
        <xdr:cNvCxnSpPr/>
      </xdr:nvCxnSpPr>
      <xdr:spPr>
        <a:xfrm>
          <a:off x="10242919" y="50710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65A3B7E7-0358-484A-8B5A-3C0B1DEC1A28}"/>
            </a:ext>
          </a:extLst>
        </xdr:cNvPr>
        <xdr:cNvCxnSpPr/>
      </xdr:nvCxnSpPr>
      <xdr:spPr>
        <a:xfrm flipH="1">
          <a:off x="11549838" y="50699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6" name="Straight Connector 35">
          <a:extLst>
            <a:ext uri="{FF2B5EF4-FFF2-40B4-BE49-F238E27FC236}">
              <a16:creationId xmlns:a16="http://schemas.microsoft.com/office/drawing/2014/main" id="{E96C78B2-AB9F-499B-9510-4069CF7CDAD7}"/>
            </a:ext>
          </a:extLst>
        </xdr:cNvPr>
        <xdr:cNvCxnSpPr/>
      </xdr:nvCxnSpPr>
      <xdr:spPr>
        <a:xfrm>
          <a:off x="8513577" y="35242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DEC7F943-D37E-4A1B-A7BB-0C9A4B6A45BB}"/>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5F0F751B-DC1E-49F7-B67D-6BBD3885B8AC}"/>
            </a:ext>
          </a:extLst>
        </xdr:cNvPr>
        <xdr:cNvCxnSpPr/>
      </xdr:nvCxnSpPr>
      <xdr:spPr>
        <a:xfrm flipV="1">
          <a:off x="8098243" y="5068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F6574742-35E7-40AC-90F0-D7BBF59B4CB5}"/>
            </a:ext>
          </a:extLst>
        </xdr:cNvPr>
        <xdr:cNvCxnSpPr/>
      </xdr:nvCxnSpPr>
      <xdr:spPr>
        <a:xfrm flipV="1">
          <a:off x="7383868" y="37001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C2C20DB2-E60A-4E47-B692-C8C7F9EF28E4}"/>
            </a:ext>
          </a:extLst>
        </xdr:cNvPr>
        <xdr:cNvCxnSpPr/>
      </xdr:nvCxnSpPr>
      <xdr:spPr>
        <a:xfrm flipV="1">
          <a:off x="3850093" y="40973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58230052-D72E-4FB5-AD45-6F8138835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B6F47ECC-62AB-4A5B-ABCF-9946ED70DC12}"/>
            </a:ext>
          </a:extLst>
        </xdr:cNvPr>
        <xdr:cNvCxnSpPr/>
      </xdr:nvCxnSpPr>
      <xdr:spPr>
        <a:xfrm>
          <a:off x="10613951" y="34254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C81E0889-5B99-4CCD-BDFB-2D33FFF307D0}"/>
            </a:ext>
          </a:extLst>
        </xdr:cNvPr>
        <xdr:cNvCxnSpPr/>
      </xdr:nvCxnSpPr>
      <xdr:spPr>
        <a:xfrm>
          <a:off x="2428211" y="34309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C9A19C18-6274-4B2B-81F3-6C0193841266}"/>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F44AB386-2002-4CBD-8A12-2AFD662D8998}"/>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196F9AD3-439B-49C4-B1FF-C632E2CA3CE0}"/>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BC95E3B6-5619-482B-8047-987E4CE28742}"/>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518291E7-1FF0-4DDD-8FEA-AA1216B0F3A0}"/>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45FF93CE-FD82-4155-AEBC-17B26FE9FC5A}"/>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1DEB74E1-E5E4-4DDC-BAFD-55E8256DDAAD}"/>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A417F6C1-1132-489E-85C2-5E1C5E5E05D6}"/>
            </a:ext>
          </a:extLst>
        </xdr:cNvPr>
        <xdr:cNvCxnSpPr/>
      </xdr:nvCxnSpPr>
      <xdr:spPr>
        <a:xfrm>
          <a:off x="2483674" y="383529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2556ADE1-BB0A-4722-98A6-6B062EF2B08C}"/>
            </a:ext>
          </a:extLst>
        </xdr:cNvPr>
        <xdr:cNvCxnSpPr/>
      </xdr:nvCxnSpPr>
      <xdr:spPr>
        <a:xfrm flipH="1" flipV="1">
          <a:off x="11901488" y="407238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323850</xdr:colOff>
      <xdr:row>29</xdr:row>
      <xdr:rowOff>9525</xdr:rowOff>
    </xdr:to>
    <xdr:pic>
      <xdr:nvPicPr>
        <xdr:cNvPr id="2" name="Picture 4" descr="spacer34">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5334000"/>
          <a:ext cx="32385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250031</xdr:colOff>
      <xdr:row>0</xdr:row>
      <xdr:rowOff>0</xdr:rowOff>
    </xdr:from>
    <xdr:to>
      <xdr:col>8</xdr:col>
      <xdr:colOff>186530</xdr:colOff>
      <xdr:row>10</xdr:row>
      <xdr:rowOff>15240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345282</xdr:colOff>
      <xdr:row>0</xdr:row>
      <xdr:rowOff>0</xdr:rowOff>
    </xdr:from>
    <xdr:to>
      <xdr:col>16</xdr:col>
      <xdr:colOff>51595</xdr:colOff>
      <xdr:row>10</xdr:row>
      <xdr:rowOff>15240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119063</xdr:colOff>
      <xdr:row>0</xdr:row>
      <xdr:rowOff>0</xdr:rowOff>
    </xdr:from>
    <xdr:to>
      <xdr:col>23</xdr:col>
      <xdr:colOff>440532</xdr:colOff>
      <xdr:row>10</xdr:row>
      <xdr:rowOff>15240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279796</xdr:colOff>
      <xdr:row>43</xdr:row>
      <xdr:rowOff>21431</xdr:rowOff>
    </xdr:from>
    <xdr:to>
      <xdr:col>22</xdr:col>
      <xdr:colOff>71436</xdr:colOff>
      <xdr:row>62</xdr:row>
      <xdr:rowOff>130969</xdr:rowOff>
    </xdr:to>
    <xdr:graphicFrame macro="">
      <xdr:nvGraphicFramePr>
        <xdr:cNvPr id="6" name="Chart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275169</xdr:colOff>
      <xdr:row>32</xdr:row>
      <xdr:rowOff>84667</xdr:rowOff>
    </xdr:from>
    <xdr:to>
      <xdr:col>18</xdr:col>
      <xdr:colOff>137584</xdr:colOff>
      <xdr:row>42</xdr:row>
      <xdr:rowOff>8467</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362783</xdr:colOff>
      <xdr:row>65</xdr:row>
      <xdr:rowOff>66455</xdr:rowOff>
    </xdr:from>
    <xdr:to>
      <xdr:col>18</xdr:col>
      <xdr:colOff>470438</xdr:colOff>
      <xdr:row>76</xdr:row>
      <xdr:rowOff>7001</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79373</xdr:colOff>
      <xdr:row>48</xdr:row>
      <xdr:rowOff>20107</xdr:rowOff>
    </xdr:from>
    <xdr:to>
      <xdr:col>12</xdr:col>
      <xdr:colOff>137583</xdr:colOff>
      <xdr:row>62</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369062</xdr:colOff>
      <xdr:row>76</xdr:row>
      <xdr:rowOff>88111</xdr:rowOff>
    </xdr:from>
    <xdr:to>
      <xdr:col>18</xdr:col>
      <xdr:colOff>477728</xdr:colOff>
      <xdr:row>87</xdr:row>
      <xdr:rowOff>162195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167</xdr:row>
      <xdr:rowOff>31750</xdr:rowOff>
    </xdr:from>
    <xdr:to>
      <xdr:col>7</xdr:col>
      <xdr:colOff>391583</xdr:colOff>
      <xdr:row>168</xdr:row>
      <xdr:rowOff>10583</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5249333" y="29721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167</xdr:row>
      <xdr:rowOff>142506</xdr:rowOff>
    </xdr:from>
    <xdr:to>
      <xdr:col>9</xdr:col>
      <xdr:colOff>368496</xdr:colOff>
      <xdr:row>168</xdr:row>
      <xdr:rowOff>163672</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6635946" y="298319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a:off x="2421762" y="255941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197</xdr:row>
      <xdr:rowOff>31750</xdr:rowOff>
    </xdr:from>
    <xdr:to>
      <xdr:col>7</xdr:col>
      <xdr:colOff>391583</xdr:colOff>
      <xdr:row>198</xdr:row>
      <xdr:rowOff>10583</xdr:rowOff>
    </xdr:to>
    <xdr:cxnSp macro="">
      <xdr:nvCxnSpPr>
        <xdr:cNvPr id="10" name="Straight Arrow Connector 9">
          <a:extLst>
            <a:ext uri="{FF2B5EF4-FFF2-40B4-BE49-F238E27FC236}">
              <a16:creationId xmlns:a16="http://schemas.microsoft.com/office/drawing/2014/main" id="{00000000-0008-0000-0200-00000A000000}"/>
            </a:ext>
          </a:extLst>
        </xdr:cNvPr>
        <xdr:cNvCxnSpPr/>
      </xdr:nvCxnSpPr>
      <xdr:spPr>
        <a:xfrm flipV="1">
          <a:off x="5249333" y="34293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197</xdr:row>
      <xdr:rowOff>120355</xdr:rowOff>
    </xdr:from>
    <xdr:to>
      <xdr:col>9</xdr:col>
      <xdr:colOff>346345</xdr:colOff>
      <xdr:row>198</xdr:row>
      <xdr:rowOff>141522</xdr:rowOff>
    </xdr:to>
    <xdr:cxnSp macro="">
      <xdr:nvCxnSpPr>
        <xdr:cNvPr id="11" name="Straight Arrow Connector 10">
          <a:extLst>
            <a:ext uri="{FF2B5EF4-FFF2-40B4-BE49-F238E27FC236}">
              <a16:creationId xmlns:a16="http://schemas.microsoft.com/office/drawing/2014/main" id="{00000000-0008-0000-0200-00000B000000}"/>
            </a:ext>
          </a:extLst>
        </xdr:cNvPr>
        <xdr:cNvCxnSpPr/>
      </xdr:nvCxnSpPr>
      <xdr:spPr>
        <a:xfrm>
          <a:off x="6613795" y="343817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200-00000C000000}"/>
            </a:ext>
          </a:extLst>
        </xdr:cNvPr>
        <xdr:cNvCxnSpPr/>
      </xdr:nvCxnSpPr>
      <xdr:spPr>
        <a:xfrm>
          <a:off x="5500135" y="14553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61</xdr:row>
      <xdr:rowOff>88605</xdr:rowOff>
    </xdr:from>
    <xdr:to>
      <xdr:col>1</xdr:col>
      <xdr:colOff>587006</xdr:colOff>
      <xdr:row>62</xdr:row>
      <xdr:rowOff>88605</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975094" y="111376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61</xdr:row>
      <xdr:rowOff>143983</xdr:rowOff>
    </xdr:from>
    <xdr:to>
      <xdr:col>3</xdr:col>
      <xdr:colOff>343343</xdr:colOff>
      <xdr:row>62</xdr:row>
      <xdr:rowOff>99680</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V="1">
          <a:off x="2118981" y="111929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123</xdr:row>
      <xdr:rowOff>2</xdr:rowOff>
    </xdr:from>
    <xdr:to>
      <xdr:col>14</xdr:col>
      <xdr:colOff>354417</xdr:colOff>
      <xdr:row>124</xdr:row>
      <xdr:rowOff>11078</xdr:rowOff>
    </xdr:to>
    <xdr:cxnSp macro="">
      <xdr:nvCxnSpPr>
        <xdr:cNvPr id="16" name="Straight Connector 15">
          <a:extLst>
            <a:ext uri="{FF2B5EF4-FFF2-40B4-BE49-F238E27FC236}">
              <a16:creationId xmlns:a16="http://schemas.microsoft.com/office/drawing/2014/main" id="{00000000-0008-0000-0200-000010000000}"/>
            </a:ext>
          </a:extLst>
        </xdr:cNvPr>
        <xdr:cNvCxnSpPr/>
      </xdr:nvCxnSpPr>
      <xdr:spPr>
        <a:xfrm flipV="1">
          <a:off x="10233836" y="21087909"/>
          <a:ext cx="0" cy="19936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123</xdr:row>
      <xdr:rowOff>1</xdr:rowOff>
    </xdr:from>
    <xdr:to>
      <xdr:col>8</xdr:col>
      <xdr:colOff>387645</xdr:colOff>
      <xdr:row>124</xdr:row>
      <xdr:rowOff>11076</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5980814" y="21087908"/>
          <a:ext cx="0" cy="1993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123</xdr:row>
      <xdr:rowOff>1</xdr:rowOff>
    </xdr:from>
    <xdr:to>
      <xdr:col>14</xdr:col>
      <xdr:colOff>343343</xdr:colOff>
      <xdr:row>123</xdr:row>
      <xdr:rowOff>1</xdr:rowOff>
    </xdr:to>
    <xdr:cxnSp macro="">
      <xdr:nvCxnSpPr>
        <xdr:cNvPr id="22" name="Straight Connector 21">
          <a:extLst>
            <a:ext uri="{FF2B5EF4-FFF2-40B4-BE49-F238E27FC236}">
              <a16:creationId xmlns:a16="http://schemas.microsoft.com/office/drawing/2014/main" id="{00000000-0008-0000-0200-000016000000}"/>
            </a:ext>
          </a:extLst>
        </xdr:cNvPr>
        <xdr:cNvCxnSpPr/>
      </xdr:nvCxnSpPr>
      <xdr:spPr>
        <a:xfrm>
          <a:off x="5991890" y="21087908"/>
          <a:ext cx="4230872"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145</xdr:row>
      <xdr:rowOff>11086</xdr:rowOff>
    </xdr:from>
    <xdr:to>
      <xdr:col>5</xdr:col>
      <xdr:colOff>354419</xdr:colOff>
      <xdr:row>145</xdr:row>
      <xdr:rowOff>148246</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flipV="1">
          <a:off x="3810000" y="25219109"/>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145</xdr:row>
      <xdr:rowOff>22156</xdr:rowOff>
    </xdr:from>
    <xdr:to>
      <xdr:col>6</xdr:col>
      <xdr:colOff>376570</xdr:colOff>
      <xdr:row>145</xdr:row>
      <xdr:rowOff>159316</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a:off x="4540989" y="25230179"/>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124</xdr:row>
      <xdr:rowOff>19495</xdr:rowOff>
    </xdr:from>
    <xdr:to>
      <xdr:col>3</xdr:col>
      <xdr:colOff>351761</xdr:colOff>
      <xdr:row>124</xdr:row>
      <xdr:rowOff>184087</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2378592" y="21295687"/>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159</xdr:row>
      <xdr:rowOff>0</xdr:rowOff>
    </xdr:from>
    <xdr:to>
      <xdr:col>17</xdr:col>
      <xdr:colOff>365495</xdr:colOff>
      <xdr:row>159</xdr:row>
      <xdr:rowOff>0</xdr:rowOff>
    </xdr:to>
    <xdr:cxnSp macro="">
      <xdr:nvCxnSpPr>
        <xdr:cNvPr id="32" name="Straight Connector 31">
          <a:extLst>
            <a:ext uri="{FF2B5EF4-FFF2-40B4-BE49-F238E27FC236}">
              <a16:creationId xmlns:a16="http://schemas.microsoft.com/office/drawing/2014/main" id="{00000000-0008-0000-0200-000020000000}"/>
            </a:ext>
          </a:extLst>
        </xdr:cNvPr>
        <xdr:cNvCxnSpPr/>
      </xdr:nvCxnSpPr>
      <xdr:spPr>
        <a:xfrm>
          <a:off x="3810000" y="28408866"/>
          <a:ext cx="8661105"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158</xdr:row>
      <xdr:rowOff>44313</xdr:rowOff>
    </xdr:from>
    <xdr:to>
      <xdr:col>5</xdr:col>
      <xdr:colOff>354419</xdr:colOff>
      <xdr:row>158</xdr:row>
      <xdr:rowOff>181473</xdr:rowOff>
    </xdr:to>
    <xdr:cxnSp macro="">
      <xdr:nvCxnSpPr>
        <xdr:cNvPr id="33" name="Straight Arrow Connector 32">
          <a:extLst>
            <a:ext uri="{FF2B5EF4-FFF2-40B4-BE49-F238E27FC236}">
              <a16:creationId xmlns:a16="http://schemas.microsoft.com/office/drawing/2014/main" id="{00000000-0008-0000-0200-000021000000}"/>
            </a:ext>
          </a:extLst>
        </xdr:cNvPr>
        <xdr:cNvCxnSpPr/>
      </xdr:nvCxnSpPr>
      <xdr:spPr>
        <a:xfrm flipV="1">
          <a:off x="3810000" y="28264894"/>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158</xdr:row>
      <xdr:rowOff>55379</xdr:rowOff>
    </xdr:from>
    <xdr:to>
      <xdr:col>17</xdr:col>
      <xdr:colOff>387646</xdr:colOff>
      <xdr:row>159</xdr:row>
      <xdr:rowOff>4254</xdr:rowOff>
    </xdr:to>
    <xdr:cxnSp macro="">
      <xdr:nvCxnSpPr>
        <xdr:cNvPr id="35" name="Straight Arrow Connector 34">
          <a:extLst>
            <a:ext uri="{FF2B5EF4-FFF2-40B4-BE49-F238E27FC236}">
              <a16:creationId xmlns:a16="http://schemas.microsoft.com/office/drawing/2014/main" id="{00000000-0008-0000-0200-000023000000}"/>
            </a:ext>
          </a:extLst>
        </xdr:cNvPr>
        <xdr:cNvCxnSpPr/>
      </xdr:nvCxnSpPr>
      <xdr:spPr>
        <a:xfrm>
          <a:off x="12493256" y="28275960"/>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32</xdr:col>
      <xdr:colOff>333375</xdr:colOff>
      <xdr:row>142</xdr:row>
      <xdr:rowOff>162368</xdr:rowOff>
    </xdr:from>
    <xdr:to>
      <xdr:col>40</xdr:col>
      <xdr:colOff>32120</xdr:colOff>
      <xdr:row>157</xdr:row>
      <xdr:rowOff>81294</xdr:rowOff>
    </xdr:to>
    <xdr:graphicFrame macro="">
      <xdr:nvGraphicFramePr>
        <xdr:cNvPr id="36" name="Chart 35">
          <a:extLst>
            <a:ext uri="{FF2B5EF4-FFF2-40B4-BE49-F238E27FC236}">
              <a16:creationId xmlns:a16="http://schemas.microsoft.com/office/drawing/2014/main" id="{00000000-0008-0000-02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531628</xdr:colOff>
      <xdr:row>77</xdr:row>
      <xdr:rowOff>33227</xdr:rowOff>
    </xdr:from>
    <xdr:to>
      <xdr:col>1</xdr:col>
      <xdr:colOff>641356</xdr:colOff>
      <xdr:row>82</xdr:row>
      <xdr:rowOff>97643</xdr:rowOff>
    </xdr:to>
    <xdr:sp macro="" textlink="">
      <xdr:nvSpPr>
        <xdr:cNvPr id="25" name="Left Brace 24">
          <a:extLst>
            <a:ext uri="{FF2B5EF4-FFF2-40B4-BE49-F238E27FC236}">
              <a16:creationId xmlns:a16="http://schemas.microsoft.com/office/drawing/2014/main" id="{00000000-0008-0000-0200-000019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26" name="Left Brace 25">
          <a:extLst>
            <a:ext uri="{FF2B5EF4-FFF2-40B4-BE49-F238E27FC236}">
              <a16:creationId xmlns:a16="http://schemas.microsoft.com/office/drawing/2014/main" id="{00000000-0008-0000-0200-00001A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531628</xdr:colOff>
      <xdr:row>77</xdr:row>
      <xdr:rowOff>33227</xdr:rowOff>
    </xdr:from>
    <xdr:to>
      <xdr:col>1</xdr:col>
      <xdr:colOff>641356</xdr:colOff>
      <xdr:row>82</xdr:row>
      <xdr:rowOff>97643</xdr:rowOff>
    </xdr:to>
    <xdr:sp macro="" textlink="">
      <xdr:nvSpPr>
        <xdr:cNvPr id="28" name="Left Brace 27">
          <a:extLst>
            <a:ext uri="{FF2B5EF4-FFF2-40B4-BE49-F238E27FC236}">
              <a16:creationId xmlns:a16="http://schemas.microsoft.com/office/drawing/2014/main" id="{00000000-0008-0000-0200-00001C000000}"/>
            </a:ext>
          </a:extLst>
        </xdr:cNvPr>
        <xdr:cNvSpPr/>
      </xdr:nvSpPr>
      <xdr:spPr>
        <a:xfrm>
          <a:off x="1141228" y="14701727"/>
          <a:ext cx="109728" cy="1016916"/>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82</xdr:row>
      <xdr:rowOff>130249</xdr:rowOff>
    </xdr:from>
    <xdr:to>
      <xdr:col>1</xdr:col>
      <xdr:colOff>638696</xdr:colOff>
      <xdr:row>87</xdr:row>
      <xdr:rowOff>11784</xdr:rowOff>
    </xdr:to>
    <xdr:sp macro="" textlink="">
      <xdr:nvSpPr>
        <xdr:cNvPr id="29" name="Left Brace 28">
          <a:extLst>
            <a:ext uri="{FF2B5EF4-FFF2-40B4-BE49-F238E27FC236}">
              <a16:creationId xmlns:a16="http://schemas.microsoft.com/office/drawing/2014/main" id="{00000000-0008-0000-0200-00001D000000}"/>
            </a:ext>
          </a:extLst>
        </xdr:cNvPr>
        <xdr:cNvSpPr/>
      </xdr:nvSpPr>
      <xdr:spPr>
        <a:xfrm>
          <a:off x="1138568" y="15751249"/>
          <a:ext cx="109728" cy="834035"/>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69</xdr:row>
      <xdr:rowOff>132907</xdr:rowOff>
    </xdr:from>
    <xdr:to>
      <xdr:col>6</xdr:col>
      <xdr:colOff>598084</xdr:colOff>
      <xdr:row>69</xdr:row>
      <xdr:rowOff>132907</xdr:rowOff>
    </xdr:to>
    <xdr:cxnSp macro="">
      <xdr:nvCxnSpPr>
        <xdr:cNvPr id="30" name="Straight Arrow Connector 29">
          <a:extLst>
            <a:ext uri="{FF2B5EF4-FFF2-40B4-BE49-F238E27FC236}">
              <a16:creationId xmlns:a16="http://schemas.microsoft.com/office/drawing/2014/main" id="{00000000-0008-0000-0200-00001E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275169</xdr:colOff>
      <xdr:row>32</xdr:row>
      <xdr:rowOff>84667</xdr:rowOff>
    </xdr:from>
    <xdr:to>
      <xdr:col>18</xdr:col>
      <xdr:colOff>137584</xdr:colOff>
      <xdr:row>42</xdr:row>
      <xdr:rowOff>8467</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65</xdr:row>
      <xdr:rowOff>44303</xdr:rowOff>
    </xdr:from>
    <xdr:to>
      <xdr:col>18</xdr:col>
      <xdr:colOff>437213</xdr:colOff>
      <xdr:row>75</xdr:row>
      <xdr:rowOff>173134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79373</xdr:colOff>
      <xdr:row>48</xdr:row>
      <xdr:rowOff>20107</xdr:rowOff>
    </xdr:from>
    <xdr:to>
      <xdr:col>12</xdr:col>
      <xdr:colOff>137583</xdr:colOff>
      <xdr:row>62</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76</xdr:row>
      <xdr:rowOff>54884</xdr:rowOff>
    </xdr:from>
    <xdr:to>
      <xdr:col>18</xdr:col>
      <xdr:colOff>444499</xdr:colOff>
      <xdr:row>87</xdr:row>
      <xdr:rowOff>128968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167</xdr:row>
      <xdr:rowOff>31750</xdr:rowOff>
    </xdr:from>
    <xdr:to>
      <xdr:col>7</xdr:col>
      <xdr:colOff>391583</xdr:colOff>
      <xdr:row>168</xdr:row>
      <xdr:rowOff>10583</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V="1">
          <a:off x="5306483" y="31816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167</xdr:row>
      <xdr:rowOff>142506</xdr:rowOff>
    </xdr:from>
    <xdr:to>
      <xdr:col>9</xdr:col>
      <xdr:colOff>368496</xdr:colOff>
      <xdr:row>168</xdr:row>
      <xdr:rowOff>163672</xdr:rowOff>
    </xdr:to>
    <xdr:cxnSp macro="">
      <xdr:nvCxnSpPr>
        <xdr:cNvPr id="8" name="Straight Arrow Connector 7">
          <a:extLst>
            <a:ext uri="{FF2B5EF4-FFF2-40B4-BE49-F238E27FC236}">
              <a16:creationId xmlns:a16="http://schemas.microsoft.com/office/drawing/2014/main" id="{00000000-0008-0000-0300-000008000000}"/>
            </a:ext>
          </a:extLst>
        </xdr:cNvPr>
        <xdr:cNvCxnSpPr/>
      </xdr:nvCxnSpPr>
      <xdr:spPr>
        <a:xfrm>
          <a:off x="6693096" y="31927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a:off x="2478912" y="27689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197</xdr:row>
      <xdr:rowOff>31750</xdr:rowOff>
    </xdr:from>
    <xdr:to>
      <xdr:col>7</xdr:col>
      <xdr:colOff>391583</xdr:colOff>
      <xdr:row>198</xdr:row>
      <xdr:rowOff>10583</xdr:rowOff>
    </xdr:to>
    <xdr:cxnSp macro="">
      <xdr:nvCxnSpPr>
        <xdr:cNvPr id="10" name="Straight Arrow Connector 9">
          <a:extLst>
            <a:ext uri="{FF2B5EF4-FFF2-40B4-BE49-F238E27FC236}">
              <a16:creationId xmlns:a16="http://schemas.microsoft.com/office/drawing/2014/main" id="{00000000-0008-0000-0300-00000A000000}"/>
            </a:ext>
          </a:extLst>
        </xdr:cNvPr>
        <xdr:cNvCxnSpPr/>
      </xdr:nvCxnSpPr>
      <xdr:spPr>
        <a:xfrm flipV="1">
          <a:off x="5306483" y="37531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197</xdr:row>
      <xdr:rowOff>120355</xdr:rowOff>
    </xdr:from>
    <xdr:to>
      <xdr:col>9</xdr:col>
      <xdr:colOff>346345</xdr:colOff>
      <xdr:row>198</xdr:row>
      <xdr:rowOff>141522</xdr:rowOff>
    </xdr:to>
    <xdr:cxnSp macro="">
      <xdr:nvCxnSpPr>
        <xdr:cNvPr id="11" name="Straight Arrow Connector 10">
          <a:extLst>
            <a:ext uri="{FF2B5EF4-FFF2-40B4-BE49-F238E27FC236}">
              <a16:creationId xmlns:a16="http://schemas.microsoft.com/office/drawing/2014/main" id="{00000000-0008-0000-0300-00000B000000}"/>
            </a:ext>
          </a:extLst>
        </xdr:cNvPr>
        <xdr:cNvCxnSpPr/>
      </xdr:nvCxnSpPr>
      <xdr:spPr>
        <a:xfrm>
          <a:off x="6670945" y="37620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300-00000C000000}"/>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61</xdr:row>
      <xdr:rowOff>88605</xdr:rowOff>
    </xdr:from>
    <xdr:to>
      <xdr:col>1</xdr:col>
      <xdr:colOff>587006</xdr:colOff>
      <xdr:row>62</xdr:row>
      <xdr:rowOff>88605</xdr:rowOff>
    </xdr:to>
    <xdr:cxnSp macro="">
      <xdr:nvCxnSpPr>
        <xdr:cNvPr id="13" name="Straight Arrow Connector 12">
          <a:extLst>
            <a:ext uri="{FF2B5EF4-FFF2-40B4-BE49-F238E27FC236}">
              <a16:creationId xmlns:a16="http://schemas.microsoft.com/office/drawing/2014/main" id="{00000000-0008-0000-0300-00000D000000}"/>
            </a:ext>
          </a:extLst>
        </xdr:cNvPr>
        <xdr:cNvCxnSpPr/>
      </xdr:nvCxnSpPr>
      <xdr:spPr>
        <a:xfrm>
          <a:off x="975094" y="11709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61</xdr:row>
      <xdr:rowOff>143983</xdr:rowOff>
    </xdr:from>
    <xdr:to>
      <xdr:col>3</xdr:col>
      <xdr:colOff>343343</xdr:colOff>
      <xdr:row>62</xdr:row>
      <xdr:rowOff>99680</xdr:rowOff>
    </xdr:to>
    <xdr:cxnSp macro="">
      <xdr:nvCxnSpPr>
        <xdr:cNvPr id="14" name="Straight Arrow Connector 13">
          <a:extLst>
            <a:ext uri="{FF2B5EF4-FFF2-40B4-BE49-F238E27FC236}">
              <a16:creationId xmlns:a16="http://schemas.microsoft.com/office/drawing/2014/main" id="{00000000-0008-0000-0300-00000E000000}"/>
            </a:ext>
          </a:extLst>
        </xdr:cNvPr>
        <xdr:cNvCxnSpPr/>
      </xdr:nvCxnSpPr>
      <xdr:spPr>
        <a:xfrm flipV="1">
          <a:off x="2176131" y="11764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123</xdr:row>
      <xdr:rowOff>55382</xdr:rowOff>
    </xdr:from>
    <xdr:to>
      <xdr:col>14</xdr:col>
      <xdr:colOff>354417</xdr:colOff>
      <xdr:row>124</xdr:row>
      <xdr:rowOff>66458</xdr:rowOff>
    </xdr:to>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V="1">
          <a:off x="10231842" y="23486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123</xdr:row>
      <xdr:rowOff>55381</xdr:rowOff>
    </xdr:from>
    <xdr:to>
      <xdr:col>8</xdr:col>
      <xdr:colOff>387645</xdr:colOff>
      <xdr:row>124</xdr:row>
      <xdr:rowOff>66456</xdr:rowOff>
    </xdr:to>
    <xdr:cxnSp macro="">
      <xdr:nvCxnSpPr>
        <xdr:cNvPr id="16" name="Straight Arrow Connector 15">
          <a:extLst>
            <a:ext uri="{FF2B5EF4-FFF2-40B4-BE49-F238E27FC236}">
              <a16:creationId xmlns:a16="http://schemas.microsoft.com/office/drawing/2014/main" id="{00000000-0008-0000-0300-000010000000}"/>
            </a:ext>
          </a:extLst>
        </xdr:cNvPr>
        <xdr:cNvCxnSpPr/>
      </xdr:nvCxnSpPr>
      <xdr:spPr>
        <a:xfrm>
          <a:off x="6007395" y="23486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123</xdr:row>
      <xdr:rowOff>55381</xdr:rowOff>
    </xdr:from>
    <xdr:to>
      <xdr:col>14</xdr:col>
      <xdr:colOff>343343</xdr:colOff>
      <xdr:row>123</xdr:row>
      <xdr:rowOff>55381</xdr:rowOff>
    </xdr:to>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a:off x="6018471" y="23486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145</xdr:row>
      <xdr:rowOff>11086</xdr:rowOff>
    </xdr:from>
    <xdr:to>
      <xdr:col>5</xdr:col>
      <xdr:colOff>354419</xdr:colOff>
      <xdr:row>145</xdr:row>
      <xdr:rowOff>148246</xdr:rowOff>
    </xdr:to>
    <xdr:cxnSp macro="">
      <xdr:nvCxnSpPr>
        <xdr:cNvPr id="18" name="Straight Arrow Connector 17">
          <a:extLst>
            <a:ext uri="{FF2B5EF4-FFF2-40B4-BE49-F238E27FC236}">
              <a16:creationId xmlns:a16="http://schemas.microsoft.com/office/drawing/2014/main" id="{00000000-0008-0000-0300-000012000000}"/>
            </a:ext>
          </a:extLst>
        </xdr:cNvPr>
        <xdr:cNvCxnSpPr/>
      </xdr:nvCxnSpPr>
      <xdr:spPr>
        <a:xfrm flipV="1">
          <a:off x="3850094" y="27605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145</xdr:row>
      <xdr:rowOff>22156</xdr:rowOff>
    </xdr:from>
    <xdr:to>
      <xdr:col>6</xdr:col>
      <xdr:colOff>376570</xdr:colOff>
      <xdr:row>145</xdr:row>
      <xdr:rowOff>159316</xdr:rowOff>
    </xdr:to>
    <xdr:cxnSp macro="">
      <xdr:nvCxnSpPr>
        <xdr:cNvPr id="19" name="Straight Arrow Connector 18">
          <a:extLst>
            <a:ext uri="{FF2B5EF4-FFF2-40B4-BE49-F238E27FC236}">
              <a16:creationId xmlns:a16="http://schemas.microsoft.com/office/drawing/2014/main" id="{00000000-0008-0000-0300-000013000000}"/>
            </a:ext>
          </a:extLst>
        </xdr:cNvPr>
        <xdr:cNvCxnSpPr/>
      </xdr:nvCxnSpPr>
      <xdr:spPr>
        <a:xfrm>
          <a:off x="4577095" y="27616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124</xdr:row>
      <xdr:rowOff>19495</xdr:rowOff>
    </xdr:from>
    <xdr:to>
      <xdr:col>3</xdr:col>
      <xdr:colOff>351761</xdr:colOff>
      <xdr:row>124</xdr:row>
      <xdr:rowOff>184087</xdr:rowOff>
    </xdr:to>
    <xdr:cxnSp macro="">
      <xdr:nvCxnSpPr>
        <xdr:cNvPr id="20" name="Straight Arrow Connector 19">
          <a:extLst>
            <a:ext uri="{FF2B5EF4-FFF2-40B4-BE49-F238E27FC236}">
              <a16:creationId xmlns:a16="http://schemas.microsoft.com/office/drawing/2014/main" id="{00000000-0008-0000-0300-000014000000}"/>
            </a:ext>
          </a:extLst>
        </xdr:cNvPr>
        <xdr:cNvCxnSpPr/>
      </xdr:nvCxnSpPr>
      <xdr:spPr>
        <a:xfrm>
          <a:off x="2428211" y="23641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159</xdr:row>
      <xdr:rowOff>0</xdr:rowOff>
    </xdr:from>
    <xdr:to>
      <xdr:col>17</xdr:col>
      <xdr:colOff>365495</xdr:colOff>
      <xdr:row>159</xdr:row>
      <xdr:rowOff>0</xdr:rowOff>
    </xdr:to>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a:off x="3850094" y="30260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158</xdr:row>
      <xdr:rowOff>44313</xdr:rowOff>
    </xdr:from>
    <xdr:to>
      <xdr:col>5</xdr:col>
      <xdr:colOff>354419</xdr:colOff>
      <xdr:row>158</xdr:row>
      <xdr:rowOff>181473</xdr:rowOff>
    </xdr:to>
    <xdr:cxnSp macro="">
      <xdr:nvCxnSpPr>
        <xdr:cNvPr id="22" name="Straight Arrow Connector 21">
          <a:extLst>
            <a:ext uri="{FF2B5EF4-FFF2-40B4-BE49-F238E27FC236}">
              <a16:creationId xmlns:a16="http://schemas.microsoft.com/office/drawing/2014/main" id="{00000000-0008-0000-0300-000016000000}"/>
            </a:ext>
          </a:extLst>
        </xdr:cNvPr>
        <xdr:cNvCxnSpPr/>
      </xdr:nvCxnSpPr>
      <xdr:spPr>
        <a:xfrm flipV="1">
          <a:off x="3850094" y="30114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158</xdr:row>
      <xdr:rowOff>55379</xdr:rowOff>
    </xdr:from>
    <xdr:to>
      <xdr:col>17</xdr:col>
      <xdr:colOff>387646</xdr:colOff>
      <xdr:row>159</xdr:row>
      <xdr:rowOff>4254</xdr:rowOff>
    </xdr:to>
    <xdr:cxnSp macro="">
      <xdr:nvCxnSpPr>
        <xdr:cNvPr id="23" name="Straight Arrow Connector 22">
          <a:extLst>
            <a:ext uri="{FF2B5EF4-FFF2-40B4-BE49-F238E27FC236}">
              <a16:creationId xmlns:a16="http://schemas.microsoft.com/office/drawing/2014/main" id="{00000000-0008-0000-0300-000017000000}"/>
            </a:ext>
          </a:extLst>
        </xdr:cNvPr>
        <xdr:cNvCxnSpPr/>
      </xdr:nvCxnSpPr>
      <xdr:spPr>
        <a:xfrm>
          <a:off x="12474871" y="30125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498401</xdr:colOff>
      <xdr:row>78</xdr:row>
      <xdr:rowOff>55378</xdr:rowOff>
    </xdr:from>
    <xdr:to>
      <xdr:col>16</xdr:col>
      <xdr:colOff>343344</xdr:colOff>
      <xdr:row>84</xdr:row>
      <xdr:rowOff>88604</xdr:rowOff>
    </xdr:to>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V="1">
          <a:off x="8956601" y="14914378"/>
          <a:ext cx="2692918" cy="117622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00000000-0008-0000-0300-000019000000}"/>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77</xdr:row>
      <xdr:rowOff>33227</xdr:rowOff>
    </xdr:from>
    <xdr:to>
      <xdr:col>1</xdr:col>
      <xdr:colOff>650499</xdr:colOff>
      <xdr:row>81</xdr:row>
      <xdr:rowOff>114300</xdr:rowOff>
    </xdr:to>
    <xdr:sp macro="" textlink="">
      <xdr:nvSpPr>
        <xdr:cNvPr id="26" name="Left Brace 25">
          <a:extLst>
            <a:ext uri="{FF2B5EF4-FFF2-40B4-BE49-F238E27FC236}">
              <a16:creationId xmlns:a16="http://schemas.microsoft.com/office/drawing/2014/main" id="{00000000-0008-0000-0300-00001A000000}"/>
            </a:ext>
          </a:extLst>
        </xdr:cNvPr>
        <xdr:cNvSpPr/>
      </xdr:nvSpPr>
      <xdr:spPr>
        <a:xfrm>
          <a:off x="1141227" y="14701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81</xdr:row>
      <xdr:rowOff>133351</xdr:rowOff>
    </xdr:from>
    <xdr:to>
      <xdr:col>1</xdr:col>
      <xdr:colOff>647700</xdr:colOff>
      <xdr:row>87</xdr:row>
      <xdr:rowOff>11785</xdr:rowOff>
    </xdr:to>
    <xdr:sp macro="" textlink="">
      <xdr:nvSpPr>
        <xdr:cNvPr id="27" name="Left Brace 26">
          <a:extLst>
            <a:ext uri="{FF2B5EF4-FFF2-40B4-BE49-F238E27FC236}">
              <a16:creationId xmlns:a16="http://schemas.microsoft.com/office/drawing/2014/main" id="{00000000-0008-0000-0300-00001B000000}"/>
            </a:ext>
          </a:extLst>
        </xdr:cNvPr>
        <xdr:cNvSpPr/>
      </xdr:nvSpPr>
      <xdr:spPr>
        <a:xfrm>
          <a:off x="1138568" y="15563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69</xdr:row>
      <xdr:rowOff>132907</xdr:rowOff>
    </xdr:from>
    <xdr:to>
      <xdr:col>6</xdr:col>
      <xdr:colOff>598084</xdr:colOff>
      <xdr:row>69</xdr:row>
      <xdr:rowOff>132907</xdr:rowOff>
    </xdr:to>
    <xdr:cxnSp macro="">
      <xdr:nvCxnSpPr>
        <xdr:cNvPr id="28" name="Straight Arrow Connector 27">
          <a:extLst>
            <a:ext uri="{FF2B5EF4-FFF2-40B4-BE49-F238E27FC236}">
              <a16:creationId xmlns:a16="http://schemas.microsoft.com/office/drawing/2014/main" id="{00000000-0008-0000-0300-00001C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76</xdr:row>
      <xdr:rowOff>66675</xdr:rowOff>
    </xdr:from>
    <xdr:to>
      <xdr:col>1</xdr:col>
      <xdr:colOff>66675</xdr:colOff>
      <xdr:row>78</xdr:row>
      <xdr:rowOff>85725</xdr:rowOff>
    </xdr:to>
    <xdr:cxnSp macro="">
      <xdr:nvCxnSpPr>
        <xdr:cNvPr id="29" name="Straight Arrow Connector 28">
          <a:extLst>
            <a:ext uri="{FF2B5EF4-FFF2-40B4-BE49-F238E27FC236}">
              <a16:creationId xmlns:a16="http://schemas.microsoft.com/office/drawing/2014/main" id="{00000000-0008-0000-0300-00001D000000}"/>
            </a:ext>
          </a:extLst>
        </xdr:cNvPr>
        <xdr:cNvCxnSpPr/>
      </xdr:nvCxnSpPr>
      <xdr:spPr>
        <a:xfrm>
          <a:off x="533400" y="14544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142</xdr:row>
      <xdr:rowOff>11076</xdr:rowOff>
    </xdr:from>
    <xdr:to>
      <xdr:col>13</xdr:col>
      <xdr:colOff>177209</xdr:colOff>
      <xdr:row>144</xdr:row>
      <xdr:rowOff>121831</xdr:rowOff>
    </xdr:to>
    <xdr:cxnSp macro="">
      <xdr:nvCxnSpPr>
        <xdr:cNvPr id="30" name="Straight Connector 29">
          <a:extLst>
            <a:ext uri="{FF2B5EF4-FFF2-40B4-BE49-F238E27FC236}">
              <a16:creationId xmlns:a16="http://schemas.microsoft.com/office/drawing/2014/main" id="{00000000-0008-0000-0300-00001E000000}"/>
            </a:ext>
          </a:extLst>
        </xdr:cNvPr>
        <xdr:cNvCxnSpPr/>
      </xdr:nvCxnSpPr>
      <xdr:spPr>
        <a:xfrm flipV="1">
          <a:off x="8901223" y="27033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141</xdr:row>
      <xdr:rowOff>166134</xdr:rowOff>
    </xdr:from>
    <xdr:to>
      <xdr:col>15</xdr:col>
      <xdr:colOff>398721</xdr:colOff>
      <xdr:row>144</xdr:row>
      <xdr:rowOff>110756</xdr:rowOff>
    </xdr:to>
    <xdr:cxnSp macro="">
      <xdr:nvCxnSpPr>
        <xdr:cNvPr id="31" name="Straight Connector 30">
          <a:extLst>
            <a:ext uri="{FF2B5EF4-FFF2-40B4-BE49-F238E27FC236}">
              <a16:creationId xmlns:a16="http://schemas.microsoft.com/office/drawing/2014/main" id="{00000000-0008-0000-0300-00001F000000}"/>
            </a:ext>
          </a:extLst>
        </xdr:cNvPr>
        <xdr:cNvCxnSpPr/>
      </xdr:nvCxnSpPr>
      <xdr:spPr>
        <a:xfrm flipH="1" flipV="1">
          <a:off x="10508733" y="26998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180</xdr:row>
      <xdr:rowOff>129437</xdr:rowOff>
    </xdr:from>
    <xdr:to>
      <xdr:col>17</xdr:col>
      <xdr:colOff>368938</xdr:colOff>
      <xdr:row>181</xdr:row>
      <xdr:rowOff>150603</xdr:rowOff>
    </xdr:to>
    <xdr:cxnSp macro="">
      <xdr:nvCxnSpPr>
        <xdr:cNvPr id="32" name="Straight Arrow Connector 31">
          <a:extLst>
            <a:ext uri="{FF2B5EF4-FFF2-40B4-BE49-F238E27FC236}">
              <a16:creationId xmlns:a16="http://schemas.microsoft.com/office/drawing/2014/main" id="{00000000-0008-0000-0300-000020000000}"/>
            </a:ext>
          </a:extLst>
        </xdr:cNvPr>
        <xdr:cNvCxnSpPr/>
      </xdr:nvCxnSpPr>
      <xdr:spPr>
        <a:xfrm>
          <a:off x="12529926" y="33998565"/>
          <a:ext cx="0" cy="209451"/>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180</xdr:row>
      <xdr:rowOff>29757</xdr:rowOff>
    </xdr:from>
    <xdr:to>
      <xdr:col>17</xdr:col>
      <xdr:colOff>363673</xdr:colOff>
      <xdr:row>181</xdr:row>
      <xdr:rowOff>8590</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flipV="1">
          <a:off x="12524661" y="33898885"/>
          <a:ext cx="0" cy="167118"/>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210</xdr:row>
      <xdr:rowOff>66454</xdr:rowOff>
    </xdr:from>
    <xdr:to>
      <xdr:col>14</xdr:col>
      <xdr:colOff>609156</xdr:colOff>
      <xdr:row>211</xdr:row>
      <xdr:rowOff>166134</xdr:rowOff>
    </xdr:to>
    <xdr:cxnSp macro="">
      <xdr:nvCxnSpPr>
        <xdr:cNvPr id="35" name="Straight Connector 34">
          <a:extLst>
            <a:ext uri="{FF2B5EF4-FFF2-40B4-BE49-F238E27FC236}">
              <a16:creationId xmlns:a16="http://schemas.microsoft.com/office/drawing/2014/main" id="{00000000-0008-0000-0300-000023000000}"/>
            </a:ext>
          </a:extLst>
        </xdr:cNvPr>
        <xdr:cNvCxnSpPr/>
      </xdr:nvCxnSpPr>
      <xdr:spPr>
        <a:xfrm>
          <a:off x="10300291" y="39584128"/>
          <a:ext cx="243662" cy="28796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210</xdr:row>
      <xdr:rowOff>55378</xdr:rowOff>
    </xdr:from>
    <xdr:to>
      <xdr:col>16</xdr:col>
      <xdr:colOff>409797</xdr:colOff>
      <xdr:row>211</xdr:row>
      <xdr:rowOff>170777</xdr:rowOff>
    </xdr:to>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flipH="1">
          <a:off x="11618285" y="39573052"/>
          <a:ext cx="166134" cy="303684"/>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129</xdr:row>
      <xdr:rowOff>4</xdr:rowOff>
    </xdr:from>
    <xdr:to>
      <xdr:col>14</xdr:col>
      <xdr:colOff>664534</xdr:colOff>
      <xdr:row>129</xdr:row>
      <xdr:rowOff>4</xdr:rowOff>
    </xdr:to>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8513577" y="24574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354418</xdr:colOff>
      <xdr:row>138</xdr:row>
      <xdr:rowOff>44302</xdr:rowOff>
    </xdr:from>
    <xdr:to>
      <xdr:col>10</xdr:col>
      <xdr:colOff>354418</xdr:colOff>
      <xdr:row>139</xdr:row>
      <xdr:rowOff>11075</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flipV="1">
          <a:off x="7383868" y="26333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159</xdr:row>
      <xdr:rowOff>44302</xdr:rowOff>
    </xdr:from>
    <xdr:to>
      <xdr:col>5</xdr:col>
      <xdr:colOff>354418</xdr:colOff>
      <xdr:row>160</xdr:row>
      <xdr:rowOff>11075</xdr:rowOff>
    </xdr:to>
    <xdr:cxnSp macro="">
      <xdr:nvCxnSpPr>
        <xdr:cNvPr id="39" name="Straight Arrow Connector 38">
          <a:extLst>
            <a:ext uri="{FF2B5EF4-FFF2-40B4-BE49-F238E27FC236}">
              <a16:creationId xmlns:a16="http://schemas.microsoft.com/office/drawing/2014/main" id="{00000000-0008-0000-0300-000027000000}"/>
            </a:ext>
          </a:extLst>
        </xdr:cNvPr>
        <xdr:cNvCxnSpPr/>
      </xdr:nvCxnSpPr>
      <xdr:spPr>
        <a:xfrm flipV="1">
          <a:off x="3850093" y="30305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180</xdr:row>
      <xdr:rowOff>44302</xdr:rowOff>
    </xdr:from>
    <xdr:to>
      <xdr:col>11</xdr:col>
      <xdr:colOff>354418</xdr:colOff>
      <xdr:row>181</xdr:row>
      <xdr:rowOff>11075</xdr:rowOff>
    </xdr:to>
    <xdr:cxnSp macro="">
      <xdr:nvCxnSpPr>
        <xdr:cNvPr id="41" name="Straight Arrow Connector 40">
          <a:extLst>
            <a:ext uri="{FF2B5EF4-FFF2-40B4-BE49-F238E27FC236}">
              <a16:creationId xmlns:a16="http://schemas.microsoft.com/office/drawing/2014/main" id="{00000000-0008-0000-0300-000029000000}"/>
            </a:ext>
          </a:extLst>
        </xdr:cNvPr>
        <xdr:cNvCxnSpPr/>
      </xdr:nvCxnSpPr>
      <xdr:spPr>
        <a:xfrm flipV="1">
          <a:off x="8098243" y="34305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210</xdr:row>
      <xdr:rowOff>44302</xdr:rowOff>
    </xdr:from>
    <xdr:to>
      <xdr:col>11</xdr:col>
      <xdr:colOff>354418</xdr:colOff>
      <xdr:row>211</xdr:row>
      <xdr:rowOff>11075</xdr:rowOff>
    </xdr:to>
    <xdr:cxnSp macro="">
      <xdr:nvCxnSpPr>
        <xdr:cNvPr id="42" name="Straight Arrow Connector 41">
          <a:extLst>
            <a:ext uri="{FF2B5EF4-FFF2-40B4-BE49-F238E27FC236}">
              <a16:creationId xmlns:a16="http://schemas.microsoft.com/office/drawing/2014/main" id="{00000000-0008-0000-0300-00002A000000}"/>
            </a:ext>
          </a:extLst>
        </xdr:cNvPr>
        <xdr:cNvCxnSpPr/>
      </xdr:nvCxnSpPr>
      <xdr:spPr>
        <a:xfrm flipV="1">
          <a:off x="8098243" y="40020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9669D5EF-C3F4-4AF8-832E-FFE60843D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117893</xdr:rowOff>
    </xdr:from>
    <xdr:to>
      <xdr:col>18</xdr:col>
      <xdr:colOff>148660</xdr:colOff>
      <xdr:row>42</xdr:row>
      <xdr:rowOff>41693</xdr:rowOff>
    </xdr:to>
    <xdr:graphicFrame macro="">
      <xdr:nvGraphicFramePr>
        <xdr:cNvPr id="3" name="Chart 2">
          <a:extLst>
            <a:ext uri="{FF2B5EF4-FFF2-40B4-BE49-F238E27FC236}">
              <a16:creationId xmlns:a16="http://schemas.microsoft.com/office/drawing/2014/main" id="{C806F67C-A0EE-47D6-B7EB-5177C1080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356FD003-2533-4A72-BE33-B02D1E1FD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A48CA0A2-478D-4763-844C-236B477B5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D29F6236-B002-47D1-9E12-DA6135919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BA3DD049-6799-4231-8126-6B8AF345D44A}"/>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6632D9DC-64FC-41E0-90DF-7C05BD326FDB}"/>
            </a:ext>
          </a:extLst>
        </xdr:cNvPr>
        <xdr:cNvCxnSpPr/>
      </xdr:nvCxnSpPr>
      <xdr:spPr>
        <a:xfrm>
          <a:off x="6693096" y="42595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0329BD60-B614-4A10-A928-4B0744FA568A}"/>
            </a:ext>
          </a:extLst>
        </xdr:cNvPr>
        <xdr:cNvCxnSpPr/>
      </xdr:nvCxnSpPr>
      <xdr:spPr>
        <a:xfrm>
          <a:off x="2478912" y="38357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C19D71C5-B1FA-457A-855E-FACFE458F4D3}"/>
            </a:ext>
          </a:extLst>
        </xdr:cNvPr>
        <xdr:cNvCxnSpPr/>
      </xdr:nvCxnSpPr>
      <xdr:spPr>
        <a:xfrm flipV="1">
          <a:off x="5306483" y="4819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DDCCC376-F81D-4852-8B09-1C5038BAB29F}"/>
            </a:ext>
          </a:extLst>
        </xdr:cNvPr>
        <xdr:cNvCxnSpPr/>
      </xdr:nvCxnSpPr>
      <xdr:spPr>
        <a:xfrm>
          <a:off x="6670945" y="48288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65D671B-3375-418D-9EB0-5C12E54FA856}"/>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E0FAB843-4FCD-4398-891D-FF1F55A67383}"/>
            </a:ext>
          </a:extLst>
        </xdr:cNvPr>
        <xdr:cNvCxnSpPr/>
      </xdr:nvCxnSpPr>
      <xdr:spPr>
        <a:xfrm>
          <a:off x="975094" y="22377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37F6855A-BC73-43FF-A6EB-B3B0797FB9E6}"/>
            </a:ext>
          </a:extLst>
        </xdr:cNvPr>
        <xdr:cNvCxnSpPr/>
      </xdr:nvCxnSpPr>
      <xdr:spPr>
        <a:xfrm flipV="1">
          <a:off x="2176131" y="22432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71CD281D-8815-4C82-87E9-58D9B083881F}"/>
            </a:ext>
          </a:extLst>
        </xdr:cNvPr>
        <xdr:cNvCxnSpPr/>
      </xdr:nvCxnSpPr>
      <xdr:spPr>
        <a:xfrm flipV="1">
          <a:off x="10231842" y="34154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4863D3E0-61C8-49C3-92C6-9AC92FBF7ECB}"/>
            </a:ext>
          </a:extLst>
        </xdr:cNvPr>
        <xdr:cNvCxnSpPr/>
      </xdr:nvCxnSpPr>
      <xdr:spPr>
        <a:xfrm>
          <a:off x="6007395" y="34154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7F611CE2-78F6-4C3E-B96D-8A0CD4BB05E0}"/>
            </a:ext>
          </a:extLst>
        </xdr:cNvPr>
        <xdr:cNvCxnSpPr/>
      </xdr:nvCxnSpPr>
      <xdr:spPr>
        <a:xfrm>
          <a:off x="6018471" y="34154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318C860-C627-4421-BEAC-65C13C3CFC68}"/>
            </a:ext>
          </a:extLst>
        </xdr:cNvPr>
        <xdr:cNvCxnSpPr/>
      </xdr:nvCxnSpPr>
      <xdr:spPr>
        <a:xfrm flipV="1">
          <a:off x="3850094" y="38273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B311359A-D543-4433-A5E7-F863BDC35D99}"/>
            </a:ext>
          </a:extLst>
        </xdr:cNvPr>
        <xdr:cNvCxnSpPr/>
      </xdr:nvCxnSpPr>
      <xdr:spPr>
        <a:xfrm>
          <a:off x="4577095" y="38284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291F2577-B536-4719-999A-644570426F1E}"/>
            </a:ext>
          </a:extLst>
        </xdr:cNvPr>
        <xdr:cNvCxnSpPr/>
      </xdr:nvCxnSpPr>
      <xdr:spPr>
        <a:xfrm>
          <a:off x="2428211" y="34309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E33F94E7-823E-416B-8181-DF2A5BB0356E}"/>
            </a:ext>
          </a:extLst>
        </xdr:cNvPr>
        <xdr:cNvCxnSpPr/>
      </xdr:nvCxnSpPr>
      <xdr:spPr>
        <a:xfrm>
          <a:off x="3850094" y="40928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C3DB9053-9FC1-494F-9020-AAD3D94B52A6}"/>
            </a:ext>
          </a:extLst>
        </xdr:cNvPr>
        <xdr:cNvCxnSpPr/>
      </xdr:nvCxnSpPr>
      <xdr:spPr>
        <a:xfrm flipV="1">
          <a:off x="3850094" y="40782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1C88063D-7F48-4770-B443-05569CF04556}"/>
            </a:ext>
          </a:extLst>
        </xdr:cNvPr>
        <xdr:cNvCxnSpPr/>
      </xdr:nvCxnSpPr>
      <xdr:spPr>
        <a:xfrm>
          <a:off x="12474871" y="40793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476250</xdr:colOff>
      <xdr:row>134</xdr:row>
      <xdr:rowOff>158751</xdr:rowOff>
    </xdr:from>
    <xdr:to>
      <xdr:col>16</xdr:col>
      <xdr:colOff>402167</xdr:colOff>
      <xdr:row>140</xdr:row>
      <xdr:rowOff>95254</xdr:rowOff>
    </xdr:to>
    <xdr:cxnSp macro="">
      <xdr:nvCxnSpPr>
        <xdr:cNvPr id="24" name="Straight Connector 23">
          <a:extLst>
            <a:ext uri="{FF2B5EF4-FFF2-40B4-BE49-F238E27FC236}">
              <a16:creationId xmlns:a16="http://schemas.microsoft.com/office/drawing/2014/main" id="{1BFA5F24-FC9D-40B8-A33F-61CBA5974F2C}"/>
            </a:ext>
          </a:extLst>
        </xdr:cNvPr>
        <xdr:cNvCxnSpPr/>
      </xdr:nvCxnSpPr>
      <xdr:spPr>
        <a:xfrm flipV="1">
          <a:off x="8934450" y="25685751"/>
          <a:ext cx="2773892" cy="1079503"/>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DB02D4C4-95C9-4E81-80A3-8D36F909FA9F}"/>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B8A72177-81E4-45AD-A7CC-702978677702}"/>
            </a:ext>
          </a:extLst>
        </xdr:cNvPr>
        <xdr:cNvSpPr/>
      </xdr:nvSpPr>
      <xdr:spPr>
        <a:xfrm>
          <a:off x="1141227" y="25369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00D4E3CC-6C36-4E22-842D-4FEFA31B5911}"/>
            </a:ext>
          </a:extLst>
        </xdr:cNvPr>
        <xdr:cNvSpPr/>
      </xdr:nvSpPr>
      <xdr:spPr>
        <a:xfrm>
          <a:off x="1138568" y="26231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088F0934-CD51-4FE1-BA67-46B8AA04E58E}"/>
            </a:ext>
          </a:extLst>
        </xdr:cNvPr>
        <xdr:cNvCxnSpPr/>
      </xdr:nvCxnSpPr>
      <xdr:spPr>
        <a:xfrm flipH="1">
          <a:off x="4422039" y="23945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589359B8-07B1-4528-877D-DBCD80E85570}"/>
            </a:ext>
          </a:extLst>
        </xdr:cNvPr>
        <xdr:cNvCxnSpPr/>
      </xdr:nvCxnSpPr>
      <xdr:spPr>
        <a:xfrm>
          <a:off x="533400" y="25212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0" name="Straight Connector 29">
          <a:extLst>
            <a:ext uri="{FF2B5EF4-FFF2-40B4-BE49-F238E27FC236}">
              <a16:creationId xmlns:a16="http://schemas.microsoft.com/office/drawing/2014/main" id="{BB96DF3D-E1C8-4ADC-9C95-EF8A3AA713AA}"/>
            </a:ext>
          </a:extLst>
        </xdr:cNvPr>
        <xdr:cNvCxnSpPr/>
      </xdr:nvCxnSpPr>
      <xdr:spPr>
        <a:xfrm flipV="1">
          <a:off x="8901223" y="37701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1" name="Straight Connector 30">
          <a:extLst>
            <a:ext uri="{FF2B5EF4-FFF2-40B4-BE49-F238E27FC236}">
              <a16:creationId xmlns:a16="http://schemas.microsoft.com/office/drawing/2014/main" id="{ED6226E0-410B-43C9-8213-BEF4A7EB3E36}"/>
            </a:ext>
          </a:extLst>
        </xdr:cNvPr>
        <xdr:cNvCxnSpPr/>
      </xdr:nvCxnSpPr>
      <xdr:spPr>
        <a:xfrm flipH="1" flipV="1">
          <a:off x="10508733" y="37666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714E93DF-FF62-41EF-8827-5A00BCF527E6}"/>
            </a:ext>
          </a:extLst>
        </xdr:cNvPr>
        <xdr:cNvCxnSpPr/>
      </xdr:nvCxnSpPr>
      <xdr:spPr>
        <a:xfrm>
          <a:off x="12456163" y="45058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AAE54080-06E3-4CE0-85D6-032B69B0FE9D}"/>
            </a:ext>
          </a:extLst>
        </xdr:cNvPr>
        <xdr:cNvCxnSpPr/>
      </xdr:nvCxnSpPr>
      <xdr:spPr>
        <a:xfrm flipV="1">
          <a:off x="12450898" y="44959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4E85747A-B817-4E08-A24D-CDC896C321B7}"/>
            </a:ext>
          </a:extLst>
        </xdr:cNvPr>
        <xdr:cNvCxnSpPr/>
      </xdr:nvCxnSpPr>
      <xdr:spPr>
        <a:xfrm>
          <a:off x="10242919" y="50710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75091321-5C90-4ECB-859E-9EBED27C588F}"/>
            </a:ext>
          </a:extLst>
        </xdr:cNvPr>
        <xdr:cNvCxnSpPr/>
      </xdr:nvCxnSpPr>
      <xdr:spPr>
        <a:xfrm flipH="1">
          <a:off x="11549838" y="50699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6" name="Straight Connector 35">
          <a:extLst>
            <a:ext uri="{FF2B5EF4-FFF2-40B4-BE49-F238E27FC236}">
              <a16:creationId xmlns:a16="http://schemas.microsoft.com/office/drawing/2014/main" id="{AD5A592F-A52F-4212-816D-132DB07D6F6D}"/>
            </a:ext>
          </a:extLst>
        </xdr:cNvPr>
        <xdr:cNvCxnSpPr/>
      </xdr:nvCxnSpPr>
      <xdr:spPr>
        <a:xfrm>
          <a:off x="8513577" y="35242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7" name="Straight Arrow Connector 36">
          <a:extLst>
            <a:ext uri="{FF2B5EF4-FFF2-40B4-BE49-F238E27FC236}">
              <a16:creationId xmlns:a16="http://schemas.microsoft.com/office/drawing/2014/main" id="{3DBA4455-2E13-473E-8F38-4C8D538141AA}"/>
            </a:ext>
          </a:extLst>
        </xdr:cNvPr>
        <xdr:cNvCxnSpPr/>
      </xdr:nvCxnSpPr>
      <xdr:spPr>
        <a:xfrm flipV="1">
          <a:off x="8098243" y="44973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8" name="Straight Arrow Connector 37">
          <a:extLst>
            <a:ext uri="{FF2B5EF4-FFF2-40B4-BE49-F238E27FC236}">
              <a16:creationId xmlns:a16="http://schemas.microsoft.com/office/drawing/2014/main" id="{7F58CD1F-5843-464B-838D-C1609C57533D}"/>
            </a:ext>
          </a:extLst>
        </xdr:cNvPr>
        <xdr:cNvCxnSpPr/>
      </xdr:nvCxnSpPr>
      <xdr:spPr>
        <a:xfrm flipV="1">
          <a:off x="8098243" y="50688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39" name="Straight Arrow Connector 38">
          <a:extLst>
            <a:ext uri="{FF2B5EF4-FFF2-40B4-BE49-F238E27FC236}">
              <a16:creationId xmlns:a16="http://schemas.microsoft.com/office/drawing/2014/main" id="{2C8CBF33-E8D5-4015-B689-A52B1286B555}"/>
            </a:ext>
          </a:extLst>
        </xdr:cNvPr>
        <xdr:cNvCxnSpPr/>
      </xdr:nvCxnSpPr>
      <xdr:spPr>
        <a:xfrm flipV="1">
          <a:off x="7383868" y="37001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0" name="Straight Arrow Connector 39">
          <a:extLst>
            <a:ext uri="{FF2B5EF4-FFF2-40B4-BE49-F238E27FC236}">
              <a16:creationId xmlns:a16="http://schemas.microsoft.com/office/drawing/2014/main" id="{01B31773-F9A8-4705-97FD-4EF791D39EEC}"/>
            </a:ext>
          </a:extLst>
        </xdr:cNvPr>
        <xdr:cNvCxnSpPr/>
      </xdr:nvCxnSpPr>
      <xdr:spPr>
        <a:xfrm flipV="1">
          <a:off x="3850093" y="40973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41" name="Chart 40">
          <a:extLst>
            <a:ext uri="{FF2B5EF4-FFF2-40B4-BE49-F238E27FC236}">
              <a16:creationId xmlns:a16="http://schemas.microsoft.com/office/drawing/2014/main" id="{DDDC5A18-C24D-4994-9F2A-08BF07806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22151</xdr:colOff>
      <xdr:row>179</xdr:row>
      <xdr:rowOff>155059</xdr:rowOff>
    </xdr:from>
    <xdr:to>
      <xdr:col>15</xdr:col>
      <xdr:colOff>22151</xdr:colOff>
      <xdr:row>184</xdr:row>
      <xdr:rowOff>1</xdr:rowOff>
    </xdr:to>
    <xdr:cxnSp macro="">
      <xdr:nvCxnSpPr>
        <xdr:cNvPr id="42" name="Straight Connector 41">
          <a:extLst>
            <a:ext uri="{FF2B5EF4-FFF2-40B4-BE49-F238E27FC236}">
              <a16:creationId xmlns:a16="http://schemas.microsoft.com/office/drawing/2014/main" id="{FE2A5CB1-0F7D-4DAE-8D00-EF269B7A78A7}"/>
            </a:ext>
          </a:extLst>
        </xdr:cNvPr>
        <xdr:cNvCxnSpPr/>
      </xdr:nvCxnSpPr>
      <xdr:spPr>
        <a:xfrm>
          <a:off x="10613951" y="34254559"/>
          <a:ext cx="0" cy="79744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43" name="Straight Arrow Connector 42">
          <a:extLst>
            <a:ext uri="{FF2B5EF4-FFF2-40B4-BE49-F238E27FC236}">
              <a16:creationId xmlns:a16="http://schemas.microsoft.com/office/drawing/2014/main" id="{9399E150-5008-425B-982D-3B3858656EBB}"/>
            </a:ext>
          </a:extLst>
        </xdr:cNvPr>
        <xdr:cNvCxnSpPr/>
      </xdr:nvCxnSpPr>
      <xdr:spPr>
        <a:xfrm>
          <a:off x="2428211" y="34309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4" name="Straight Arrow Connector 43">
          <a:extLst>
            <a:ext uri="{FF2B5EF4-FFF2-40B4-BE49-F238E27FC236}">
              <a16:creationId xmlns:a16="http://schemas.microsoft.com/office/drawing/2014/main" id="{13916377-447A-4244-BA11-13CE390DDF5E}"/>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3B1A992D-378F-45C6-91DE-72ED8D8355F5}"/>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0ABBACAC-FC7E-4603-A6EE-E9CFE163531F}"/>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5FC7D743-E02C-4055-A714-FC6D817FE624}"/>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A916559E-20B2-4FDA-BAC3-BC95F978AD45}"/>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B3D6B40F-A42F-42CD-A401-6187DB94D083}"/>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5E49EC62-4251-4109-AD20-9327B3515344}"/>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407224</xdr:colOff>
      <xdr:row>201</xdr:row>
      <xdr:rowOff>90979</xdr:rowOff>
    </xdr:from>
    <xdr:to>
      <xdr:col>3</xdr:col>
      <xdr:colOff>407224</xdr:colOff>
      <xdr:row>202</xdr:row>
      <xdr:rowOff>112146</xdr:rowOff>
    </xdr:to>
    <xdr:cxnSp macro="">
      <xdr:nvCxnSpPr>
        <xdr:cNvPr id="51" name="Straight Arrow Connector 50">
          <a:extLst>
            <a:ext uri="{FF2B5EF4-FFF2-40B4-BE49-F238E27FC236}">
              <a16:creationId xmlns:a16="http://schemas.microsoft.com/office/drawing/2014/main" id="{FE0A2C79-A3DC-4DB4-8391-482C9D07F9B2}"/>
            </a:ext>
          </a:extLst>
        </xdr:cNvPr>
        <xdr:cNvCxnSpPr/>
      </xdr:nvCxnSpPr>
      <xdr:spPr>
        <a:xfrm>
          <a:off x="2483674" y="38352904"/>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595313</xdr:colOff>
      <xdr:row>213</xdr:row>
      <xdr:rowOff>175950</xdr:rowOff>
    </xdr:from>
    <xdr:to>
      <xdr:col>18</xdr:col>
      <xdr:colOff>83343</xdr:colOff>
      <xdr:row>217</xdr:row>
      <xdr:rowOff>35718</xdr:rowOff>
    </xdr:to>
    <xdr:cxnSp macro="">
      <xdr:nvCxnSpPr>
        <xdr:cNvPr id="52" name="Straight Arrow Connector 51">
          <a:extLst>
            <a:ext uri="{FF2B5EF4-FFF2-40B4-BE49-F238E27FC236}">
              <a16:creationId xmlns:a16="http://schemas.microsoft.com/office/drawing/2014/main" id="{3FA80068-DDC6-46FB-B1A4-A71366223D4D}"/>
            </a:ext>
          </a:extLst>
        </xdr:cNvPr>
        <xdr:cNvCxnSpPr/>
      </xdr:nvCxnSpPr>
      <xdr:spPr>
        <a:xfrm flipH="1" flipV="1">
          <a:off x="11901488" y="40723875"/>
          <a:ext cx="1040605" cy="6217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507999</xdr:colOff>
      <xdr:row>149</xdr:row>
      <xdr:rowOff>42333</xdr:rowOff>
    </xdr:from>
    <xdr:to>
      <xdr:col>7</xdr:col>
      <xdr:colOff>190499</xdr:colOff>
      <xdr:row>153</xdr:row>
      <xdr:rowOff>84666</xdr:rowOff>
    </xdr:to>
    <xdr:cxnSp macro="">
      <xdr:nvCxnSpPr>
        <xdr:cNvPr id="54" name="Straight Connector 53">
          <a:extLst>
            <a:ext uri="{FF2B5EF4-FFF2-40B4-BE49-F238E27FC236}">
              <a16:creationId xmlns:a16="http://schemas.microsoft.com/office/drawing/2014/main" id="{9F4A8C44-3B41-1F7F-8895-E81E61C1D0B7}"/>
            </a:ext>
          </a:extLst>
        </xdr:cNvPr>
        <xdr:cNvCxnSpPr/>
      </xdr:nvCxnSpPr>
      <xdr:spPr>
        <a:xfrm flipH="1">
          <a:off x="4021666" y="28426833"/>
          <a:ext cx="1111250" cy="804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201083</xdr:colOff>
      <xdr:row>149</xdr:row>
      <xdr:rowOff>31750</xdr:rowOff>
    </xdr:from>
    <xdr:to>
      <xdr:col>8</xdr:col>
      <xdr:colOff>624417</xdr:colOff>
      <xdr:row>155</xdr:row>
      <xdr:rowOff>179917</xdr:rowOff>
    </xdr:to>
    <xdr:cxnSp macro="">
      <xdr:nvCxnSpPr>
        <xdr:cNvPr id="56" name="Straight Connector 55">
          <a:extLst>
            <a:ext uri="{FF2B5EF4-FFF2-40B4-BE49-F238E27FC236}">
              <a16:creationId xmlns:a16="http://schemas.microsoft.com/office/drawing/2014/main" id="{941FBB09-EFD0-63B5-298A-1FF334DE7F75}"/>
            </a:ext>
          </a:extLst>
        </xdr:cNvPr>
        <xdr:cNvCxnSpPr/>
      </xdr:nvCxnSpPr>
      <xdr:spPr>
        <a:xfrm>
          <a:off x="5143500" y="28416250"/>
          <a:ext cx="1132417" cy="1291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145288</xdr:colOff>
      <xdr:row>209</xdr:row>
      <xdr:rowOff>123845</xdr:rowOff>
    </xdr:from>
    <xdr:to>
      <xdr:col>18</xdr:col>
      <xdr:colOff>582083</xdr:colOff>
      <xdr:row>209</xdr:row>
      <xdr:rowOff>126999</xdr:rowOff>
    </xdr:to>
    <xdr:cxnSp macro="">
      <xdr:nvCxnSpPr>
        <xdr:cNvPr id="57" name="Straight Arrow Connector 56">
          <a:extLst>
            <a:ext uri="{FF2B5EF4-FFF2-40B4-BE49-F238E27FC236}">
              <a16:creationId xmlns:a16="http://schemas.microsoft.com/office/drawing/2014/main" id="{65C33298-8097-4F7D-B024-26CB68D90F58}"/>
            </a:ext>
          </a:extLst>
        </xdr:cNvPr>
        <xdr:cNvCxnSpPr/>
      </xdr:nvCxnSpPr>
      <xdr:spPr>
        <a:xfrm flipH="1" flipV="1">
          <a:off x="13078121" y="39906595"/>
          <a:ext cx="436795" cy="3154"/>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412750</xdr:colOff>
      <xdr:row>301</xdr:row>
      <xdr:rowOff>74083</xdr:rowOff>
    </xdr:from>
    <xdr:to>
      <xdr:col>17</xdr:col>
      <xdr:colOff>455083</xdr:colOff>
      <xdr:row>304</xdr:row>
      <xdr:rowOff>74083</xdr:rowOff>
    </xdr:to>
    <xdr:cxnSp macro="">
      <xdr:nvCxnSpPr>
        <xdr:cNvPr id="61" name="Straight Arrow Connector 60">
          <a:extLst>
            <a:ext uri="{FF2B5EF4-FFF2-40B4-BE49-F238E27FC236}">
              <a16:creationId xmlns:a16="http://schemas.microsoft.com/office/drawing/2014/main" id="{2578EB57-AE91-CC7F-1429-395800AB1962}"/>
            </a:ext>
          </a:extLst>
        </xdr:cNvPr>
        <xdr:cNvCxnSpPr/>
      </xdr:nvCxnSpPr>
      <xdr:spPr>
        <a:xfrm flipH="1" flipV="1">
          <a:off x="11070167" y="57382833"/>
          <a:ext cx="1545166" cy="5715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269874</xdr:colOff>
      <xdr:row>22</xdr:row>
      <xdr:rowOff>95250</xdr:rowOff>
    </xdr:from>
    <xdr:to>
      <xdr:col>18</xdr:col>
      <xdr:colOff>116417</xdr:colOff>
      <xdr:row>32</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275169</xdr:colOff>
      <xdr:row>32</xdr:row>
      <xdr:rowOff>84667</xdr:rowOff>
    </xdr:from>
    <xdr:to>
      <xdr:col>18</xdr:col>
      <xdr:colOff>137584</xdr:colOff>
      <xdr:row>42</xdr:row>
      <xdr:rowOff>8467</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65</xdr:row>
      <xdr:rowOff>44303</xdr:rowOff>
    </xdr:from>
    <xdr:to>
      <xdr:col>18</xdr:col>
      <xdr:colOff>437213</xdr:colOff>
      <xdr:row>75</xdr:row>
      <xdr:rowOff>173134</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79373</xdr:colOff>
      <xdr:row>48</xdr:row>
      <xdr:rowOff>20107</xdr:rowOff>
    </xdr:from>
    <xdr:to>
      <xdr:col>12</xdr:col>
      <xdr:colOff>137583</xdr:colOff>
      <xdr:row>62</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76</xdr:row>
      <xdr:rowOff>54884</xdr:rowOff>
    </xdr:from>
    <xdr:to>
      <xdr:col>18</xdr:col>
      <xdr:colOff>444499</xdr:colOff>
      <xdr:row>87</xdr:row>
      <xdr:rowOff>128968</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167</xdr:row>
      <xdr:rowOff>31750</xdr:rowOff>
    </xdr:from>
    <xdr:to>
      <xdr:col>7</xdr:col>
      <xdr:colOff>391583</xdr:colOff>
      <xdr:row>168</xdr:row>
      <xdr:rowOff>10583</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V="1">
          <a:off x="5306483" y="31816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167</xdr:row>
      <xdr:rowOff>142506</xdr:rowOff>
    </xdr:from>
    <xdr:to>
      <xdr:col>9</xdr:col>
      <xdr:colOff>368496</xdr:colOff>
      <xdr:row>168</xdr:row>
      <xdr:rowOff>163672</xdr:rowOff>
    </xdr:to>
    <xdr:cxnSp macro="">
      <xdr:nvCxnSpPr>
        <xdr:cNvPr id="8" name="Straight Arrow Connector 7">
          <a:extLst>
            <a:ext uri="{FF2B5EF4-FFF2-40B4-BE49-F238E27FC236}">
              <a16:creationId xmlns:a16="http://schemas.microsoft.com/office/drawing/2014/main" id="{00000000-0008-0000-0400-000008000000}"/>
            </a:ext>
          </a:extLst>
        </xdr:cNvPr>
        <xdr:cNvCxnSpPr/>
      </xdr:nvCxnSpPr>
      <xdr:spPr>
        <a:xfrm>
          <a:off x="6693096" y="31927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145</xdr:row>
      <xdr:rowOff>95742</xdr:rowOff>
    </xdr:from>
    <xdr:to>
      <xdr:col>3</xdr:col>
      <xdr:colOff>402462</xdr:colOff>
      <xdr:row>146</xdr:row>
      <xdr:rowOff>116909</xdr:rowOff>
    </xdr:to>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a:off x="2478912" y="27689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197</xdr:row>
      <xdr:rowOff>31750</xdr:rowOff>
    </xdr:from>
    <xdr:to>
      <xdr:col>7</xdr:col>
      <xdr:colOff>391583</xdr:colOff>
      <xdr:row>198</xdr:row>
      <xdr:rowOff>10583</xdr:rowOff>
    </xdr:to>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flipV="1">
          <a:off x="5306483" y="37531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197</xdr:row>
      <xdr:rowOff>120355</xdr:rowOff>
    </xdr:from>
    <xdr:to>
      <xdr:col>9</xdr:col>
      <xdr:colOff>346345</xdr:colOff>
      <xdr:row>198</xdr:row>
      <xdr:rowOff>141522</xdr:rowOff>
    </xdr:to>
    <xdr:cxnSp macro="">
      <xdr:nvCxnSpPr>
        <xdr:cNvPr id="11" name="Straight Arrow Connector 10">
          <a:extLst>
            <a:ext uri="{FF2B5EF4-FFF2-40B4-BE49-F238E27FC236}">
              <a16:creationId xmlns:a16="http://schemas.microsoft.com/office/drawing/2014/main" id="{00000000-0008-0000-0400-00000B000000}"/>
            </a:ext>
          </a:extLst>
        </xdr:cNvPr>
        <xdr:cNvCxnSpPr/>
      </xdr:nvCxnSpPr>
      <xdr:spPr>
        <a:xfrm>
          <a:off x="6670945" y="37620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400-00000C000000}"/>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61</xdr:row>
      <xdr:rowOff>88605</xdr:rowOff>
    </xdr:from>
    <xdr:to>
      <xdr:col>1</xdr:col>
      <xdr:colOff>587006</xdr:colOff>
      <xdr:row>62</xdr:row>
      <xdr:rowOff>88605</xdr:rowOff>
    </xdr:to>
    <xdr:cxnSp macro="">
      <xdr:nvCxnSpPr>
        <xdr:cNvPr id="13" name="Straight Arrow Connector 12">
          <a:extLst>
            <a:ext uri="{FF2B5EF4-FFF2-40B4-BE49-F238E27FC236}">
              <a16:creationId xmlns:a16="http://schemas.microsoft.com/office/drawing/2014/main" id="{00000000-0008-0000-0400-00000D000000}"/>
            </a:ext>
          </a:extLst>
        </xdr:cNvPr>
        <xdr:cNvCxnSpPr/>
      </xdr:nvCxnSpPr>
      <xdr:spPr>
        <a:xfrm>
          <a:off x="975094" y="11709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61</xdr:row>
      <xdr:rowOff>143983</xdr:rowOff>
    </xdr:from>
    <xdr:to>
      <xdr:col>3</xdr:col>
      <xdr:colOff>343343</xdr:colOff>
      <xdr:row>62</xdr:row>
      <xdr:rowOff>99680</xdr:rowOff>
    </xdr:to>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V="1">
          <a:off x="2176131" y="11764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123</xdr:row>
      <xdr:rowOff>55382</xdr:rowOff>
    </xdr:from>
    <xdr:to>
      <xdr:col>14</xdr:col>
      <xdr:colOff>354417</xdr:colOff>
      <xdr:row>124</xdr:row>
      <xdr:rowOff>66458</xdr:rowOff>
    </xdr:to>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V="1">
          <a:off x="10231842" y="23486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123</xdr:row>
      <xdr:rowOff>55381</xdr:rowOff>
    </xdr:from>
    <xdr:to>
      <xdr:col>8</xdr:col>
      <xdr:colOff>387645</xdr:colOff>
      <xdr:row>124</xdr:row>
      <xdr:rowOff>66456</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a:off x="6007395" y="23486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123</xdr:row>
      <xdr:rowOff>55381</xdr:rowOff>
    </xdr:from>
    <xdr:to>
      <xdr:col>14</xdr:col>
      <xdr:colOff>343343</xdr:colOff>
      <xdr:row>123</xdr:row>
      <xdr:rowOff>55381</xdr:rowOff>
    </xdr:to>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a:off x="6018471" y="23486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145</xdr:row>
      <xdr:rowOff>11086</xdr:rowOff>
    </xdr:from>
    <xdr:to>
      <xdr:col>5</xdr:col>
      <xdr:colOff>354419</xdr:colOff>
      <xdr:row>145</xdr:row>
      <xdr:rowOff>148246</xdr:rowOff>
    </xdr:to>
    <xdr:cxnSp macro="">
      <xdr:nvCxnSpPr>
        <xdr:cNvPr id="18" name="Straight Arrow Connector 17">
          <a:extLst>
            <a:ext uri="{FF2B5EF4-FFF2-40B4-BE49-F238E27FC236}">
              <a16:creationId xmlns:a16="http://schemas.microsoft.com/office/drawing/2014/main" id="{00000000-0008-0000-0400-000012000000}"/>
            </a:ext>
          </a:extLst>
        </xdr:cNvPr>
        <xdr:cNvCxnSpPr/>
      </xdr:nvCxnSpPr>
      <xdr:spPr>
        <a:xfrm flipV="1">
          <a:off x="3850094" y="27605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145</xdr:row>
      <xdr:rowOff>22156</xdr:rowOff>
    </xdr:from>
    <xdr:to>
      <xdr:col>6</xdr:col>
      <xdr:colOff>376570</xdr:colOff>
      <xdr:row>145</xdr:row>
      <xdr:rowOff>159316</xdr:rowOff>
    </xdr:to>
    <xdr:cxnSp macro="">
      <xdr:nvCxnSpPr>
        <xdr:cNvPr id="19" name="Straight Arrow Connector 18">
          <a:extLst>
            <a:ext uri="{FF2B5EF4-FFF2-40B4-BE49-F238E27FC236}">
              <a16:creationId xmlns:a16="http://schemas.microsoft.com/office/drawing/2014/main" id="{00000000-0008-0000-0400-000013000000}"/>
            </a:ext>
          </a:extLst>
        </xdr:cNvPr>
        <xdr:cNvCxnSpPr/>
      </xdr:nvCxnSpPr>
      <xdr:spPr>
        <a:xfrm>
          <a:off x="4577095" y="27616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124</xdr:row>
      <xdr:rowOff>19495</xdr:rowOff>
    </xdr:from>
    <xdr:to>
      <xdr:col>3</xdr:col>
      <xdr:colOff>351761</xdr:colOff>
      <xdr:row>124</xdr:row>
      <xdr:rowOff>184087</xdr:rowOff>
    </xdr:to>
    <xdr:cxnSp macro="">
      <xdr:nvCxnSpPr>
        <xdr:cNvPr id="20" name="Straight Arrow Connector 19">
          <a:extLst>
            <a:ext uri="{FF2B5EF4-FFF2-40B4-BE49-F238E27FC236}">
              <a16:creationId xmlns:a16="http://schemas.microsoft.com/office/drawing/2014/main" id="{00000000-0008-0000-0400-000014000000}"/>
            </a:ext>
          </a:extLst>
        </xdr:cNvPr>
        <xdr:cNvCxnSpPr/>
      </xdr:nvCxnSpPr>
      <xdr:spPr>
        <a:xfrm>
          <a:off x="2428211" y="23641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159</xdr:row>
      <xdr:rowOff>0</xdr:rowOff>
    </xdr:from>
    <xdr:to>
      <xdr:col>17</xdr:col>
      <xdr:colOff>365495</xdr:colOff>
      <xdr:row>159</xdr:row>
      <xdr:rowOff>0</xdr:rowOff>
    </xdr:to>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a:off x="3850094" y="30260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158</xdr:row>
      <xdr:rowOff>44313</xdr:rowOff>
    </xdr:from>
    <xdr:to>
      <xdr:col>5</xdr:col>
      <xdr:colOff>354419</xdr:colOff>
      <xdr:row>158</xdr:row>
      <xdr:rowOff>181473</xdr:rowOff>
    </xdr:to>
    <xdr:cxnSp macro="">
      <xdr:nvCxnSpPr>
        <xdr:cNvPr id="22" name="Straight Arrow Connector 21">
          <a:extLst>
            <a:ext uri="{FF2B5EF4-FFF2-40B4-BE49-F238E27FC236}">
              <a16:creationId xmlns:a16="http://schemas.microsoft.com/office/drawing/2014/main" id="{00000000-0008-0000-0400-000016000000}"/>
            </a:ext>
          </a:extLst>
        </xdr:cNvPr>
        <xdr:cNvCxnSpPr/>
      </xdr:nvCxnSpPr>
      <xdr:spPr>
        <a:xfrm flipV="1">
          <a:off x="3850094" y="30114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158</xdr:row>
      <xdr:rowOff>55379</xdr:rowOff>
    </xdr:from>
    <xdr:to>
      <xdr:col>17</xdr:col>
      <xdr:colOff>387646</xdr:colOff>
      <xdr:row>159</xdr:row>
      <xdr:rowOff>4254</xdr:rowOff>
    </xdr:to>
    <xdr:cxnSp macro="">
      <xdr:nvCxnSpPr>
        <xdr:cNvPr id="23" name="Straight Arrow Connector 22">
          <a:extLst>
            <a:ext uri="{FF2B5EF4-FFF2-40B4-BE49-F238E27FC236}">
              <a16:creationId xmlns:a16="http://schemas.microsoft.com/office/drawing/2014/main" id="{00000000-0008-0000-0400-000017000000}"/>
            </a:ext>
          </a:extLst>
        </xdr:cNvPr>
        <xdr:cNvCxnSpPr/>
      </xdr:nvCxnSpPr>
      <xdr:spPr>
        <a:xfrm>
          <a:off x="12474871" y="30125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431949</xdr:colOff>
      <xdr:row>78</xdr:row>
      <xdr:rowOff>143983</xdr:rowOff>
    </xdr:from>
    <xdr:to>
      <xdr:col>16</xdr:col>
      <xdr:colOff>354419</xdr:colOff>
      <xdr:row>84</xdr:row>
      <xdr:rowOff>132910</xdr:rowOff>
    </xdr:to>
    <xdr:cxnSp macro="">
      <xdr:nvCxnSpPr>
        <xdr:cNvPr id="24" name="Straight Connector 23">
          <a:extLst>
            <a:ext uri="{FF2B5EF4-FFF2-40B4-BE49-F238E27FC236}">
              <a16:creationId xmlns:a16="http://schemas.microsoft.com/office/drawing/2014/main" id="{00000000-0008-0000-0400-000018000000}"/>
            </a:ext>
          </a:extLst>
        </xdr:cNvPr>
        <xdr:cNvCxnSpPr/>
      </xdr:nvCxnSpPr>
      <xdr:spPr>
        <a:xfrm flipV="1">
          <a:off x="8937996" y="14830204"/>
          <a:ext cx="2791045" cy="111863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00000000-0008-0000-0400-000019000000}"/>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77</xdr:row>
      <xdr:rowOff>33227</xdr:rowOff>
    </xdr:from>
    <xdr:to>
      <xdr:col>1</xdr:col>
      <xdr:colOff>650499</xdr:colOff>
      <xdr:row>81</xdr:row>
      <xdr:rowOff>114300</xdr:rowOff>
    </xdr:to>
    <xdr:sp macro="" textlink="">
      <xdr:nvSpPr>
        <xdr:cNvPr id="26" name="Left Brace 25">
          <a:extLst>
            <a:ext uri="{FF2B5EF4-FFF2-40B4-BE49-F238E27FC236}">
              <a16:creationId xmlns:a16="http://schemas.microsoft.com/office/drawing/2014/main" id="{00000000-0008-0000-0400-00001A000000}"/>
            </a:ext>
          </a:extLst>
        </xdr:cNvPr>
        <xdr:cNvSpPr/>
      </xdr:nvSpPr>
      <xdr:spPr>
        <a:xfrm>
          <a:off x="1141227" y="14701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81</xdr:row>
      <xdr:rowOff>133351</xdr:rowOff>
    </xdr:from>
    <xdr:to>
      <xdr:col>1</xdr:col>
      <xdr:colOff>647700</xdr:colOff>
      <xdr:row>87</xdr:row>
      <xdr:rowOff>11785</xdr:rowOff>
    </xdr:to>
    <xdr:sp macro="" textlink="">
      <xdr:nvSpPr>
        <xdr:cNvPr id="27" name="Left Brace 26">
          <a:extLst>
            <a:ext uri="{FF2B5EF4-FFF2-40B4-BE49-F238E27FC236}">
              <a16:creationId xmlns:a16="http://schemas.microsoft.com/office/drawing/2014/main" id="{00000000-0008-0000-0400-00001B000000}"/>
            </a:ext>
          </a:extLst>
        </xdr:cNvPr>
        <xdr:cNvSpPr/>
      </xdr:nvSpPr>
      <xdr:spPr>
        <a:xfrm>
          <a:off x="1138568" y="15563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69</xdr:row>
      <xdr:rowOff>132907</xdr:rowOff>
    </xdr:from>
    <xdr:to>
      <xdr:col>6</xdr:col>
      <xdr:colOff>598084</xdr:colOff>
      <xdr:row>69</xdr:row>
      <xdr:rowOff>132907</xdr:rowOff>
    </xdr:to>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76</xdr:row>
      <xdr:rowOff>66675</xdr:rowOff>
    </xdr:from>
    <xdr:to>
      <xdr:col>1</xdr:col>
      <xdr:colOff>66675</xdr:colOff>
      <xdr:row>78</xdr:row>
      <xdr:rowOff>85725</xdr:rowOff>
    </xdr:to>
    <xdr:cxnSp macro="">
      <xdr:nvCxnSpPr>
        <xdr:cNvPr id="29" name="Straight Arrow Connector 28">
          <a:extLst>
            <a:ext uri="{FF2B5EF4-FFF2-40B4-BE49-F238E27FC236}">
              <a16:creationId xmlns:a16="http://schemas.microsoft.com/office/drawing/2014/main" id="{00000000-0008-0000-0400-00001D000000}"/>
            </a:ext>
          </a:extLst>
        </xdr:cNvPr>
        <xdr:cNvCxnSpPr/>
      </xdr:nvCxnSpPr>
      <xdr:spPr>
        <a:xfrm>
          <a:off x="533400" y="14544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142</xdr:row>
      <xdr:rowOff>11076</xdr:rowOff>
    </xdr:from>
    <xdr:to>
      <xdr:col>13</xdr:col>
      <xdr:colOff>177209</xdr:colOff>
      <xdr:row>144</xdr:row>
      <xdr:rowOff>121831</xdr:rowOff>
    </xdr:to>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flipV="1">
          <a:off x="8901223" y="27033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141</xdr:row>
      <xdr:rowOff>166134</xdr:rowOff>
    </xdr:from>
    <xdr:to>
      <xdr:col>15</xdr:col>
      <xdr:colOff>398721</xdr:colOff>
      <xdr:row>144</xdr:row>
      <xdr:rowOff>110756</xdr:rowOff>
    </xdr:to>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flipH="1" flipV="1">
          <a:off x="10508733" y="26998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180</xdr:row>
      <xdr:rowOff>129437</xdr:rowOff>
    </xdr:from>
    <xdr:to>
      <xdr:col>17</xdr:col>
      <xdr:colOff>368938</xdr:colOff>
      <xdr:row>181</xdr:row>
      <xdr:rowOff>150603</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a:off x="12456163" y="34390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180</xdr:row>
      <xdr:rowOff>29757</xdr:rowOff>
    </xdr:from>
    <xdr:to>
      <xdr:col>17</xdr:col>
      <xdr:colOff>363673</xdr:colOff>
      <xdr:row>181</xdr:row>
      <xdr:rowOff>8590</xdr:rowOff>
    </xdr:to>
    <xdr:cxnSp macro="">
      <xdr:nvCxnSpPr>
        <xdr:cNvPr id="36" name="Straight Arrow Connector 35">
          <a:extLst>
            <a:ext uri="{FF2B5EF4-FFF2-40B4-BE49-F238E27FC236}">
              <a16:creationId xmlns:a16="http://schemas.microsoft.com/office/drawing/2014/main" id="{00000000-0008-0000-0400-000024000000}"/>
            </a:ext>
          </a:extLst>
        </xdr:cNvPr>
        <xdr:cNvCxnSpPr/>
      </xdr:nvCxnSpPr>
      <xdr:spPr>
        <a:xfrm flipV="1">
          <a:off x="12450898" y="34291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210</xdr:row>
      <xdr:rowOff>66454</xdr:rowOff>
    </xdr:from>
    <xdr:to>
      <xdr:col>14</xdr:col>
      <xdr:colOff>609156</xdr:colOff>
      <xdr:row>211</xdr:row>
      <xdr:rowOff>166134</xdr:rowOff>
    </xdr:to>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10242919" y="40042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210</xdr:row>
      <xdr:rowOff>55378</xdr:rowOff>
    </xdr:from>
    <xdr:to>
      <xdr:col>16</xdr:col>
      <xdr:colOff>409797</xdr:colOff>
      <xdr:row>211</xdr:row>
      <xdr:rowOff>170777</xdr:rowOff>
    </xdr:to>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flipH="1">
          <a:off x="11549838" y="40031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129</xdr:row>
      <xdr:rowOff>4</xdr:rowOff>
    </xdr:from>
    <xdr:to>
      <xdr:col>14</xdr:col>
      <xdr:colOff>664534</xdr:colOff>
      <xdr:row>129</xdr:row>
      <xdr:rowOff>4</xdr:rowOff>
    </xdr:to>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8513577" y="24574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300147</xdr:colOff>
      <xdr:row>253</xdr:row>
      <xdr:rowOff>33227</xdr:rowOff>
    </xdr:from>
    <xdr:to>
      <xdr:col>10</xdr:col>
      <xdr:colOff>431946</xdr:colOff>
      <xdr:row>271</xdr:row>
      <xdr:rowOff>55378</xdr:rowOff>
    </xdr:to>
    <xdr:graphicFrame macro="">
      <xdr:nvGraphicFramePr>
        <xdr:cNvPr id="30" name="Chart 29">
          <a:extLst>
            <a:ext uri="{FF2B5EF4-FFF2-40B4-BE49-F238E27FC236}">
              <a16:creationId xmlns:a16="http://schemas.microsoft.com/office/drawing/2014/main" id="{00000000-0008-0000-04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354418</xdr:colOff>
      <xdr:row>138</xdr:row>
      <xdr:rowOff>44302</xdr:rowOff>
    </xdr:from>
    <xdr:to>
      <xdr:col>10</xdr:col>
      <xdr:colOff>354418</xdr:colOff>
      <xdr:row>139</xdr:row>
      <xdr:rowOff>11075</xdr:rowOff>
    </xdr:to>
    <xdr:cxnSp macro="">
      <xdr:nvCxnSpPr>
        <xdr:cNvPr id="38" name="Straight Arrow Connector 37">
          <a:extLst>
            <a:ext uri="{FF2B5EF4-FFF2-40B4-BE49-F238E27FC236}">
              <a16:creationId xmlns:a16="http://schemas.microsoft.com/office/drawing/2014/main" id="{00000000-0008-0000-0400-000026000000}"/>
            </a:ext>
          </a:extLst>
        </xdr:cNvPr>
        <xdr:cNvCxnSpPr/>
      </xdr:nvCxnSpPr>
      <xdr:spPr>
        <a:xfrm flipV="1">
          <a:off x="7383868" y="26333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159</xdr:row>
      <xdr:rowOff>44302</xdr:rowOff>
    </xdr:from>
    <xdr:to>
      <xdr:col>5</xdr:col>
      <xdr:colOff>354418</xdr:colOff>
      <xdr:row>160</xdr:row>
      <xdr:rowOff>11075</xdr:rowOff>
    </xdr:to>
    <xdr:cxnSp macro="">
      <xdr:nvCxnSpPr>
        <xdr:cNvPr id="42" name="Straight Arrow Connector 41">
          <a:extLst>
            <a:ext uri="{FF2B5EF4-FFF2-40B4-BE49-F238E27FC236}">
              <a16:creationId xmlns:a16="http://schemas.microsoft.com/office/drawing/2014/main" id="{00000000-0008-0000-0400-00002A000000}"/>
            </a:ext>
          </a:extLst>
        </xdr:cNvPr>
        <xdr:cNvCxnSpPr/>
      </xdr:nvCxnSpPr>
      <xdr:spPr>
        <a:xfrm flipV="1">
          <a:off x="3850093" y="30305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210</xdr:row>
      <xdr:rowOff>44302</xdr:rowOff>
    </xdr:from>
    <xdr:to>
      <xdr:col>11</xdr:col>
      <xdr:colOff>354418</xdr:colOff>
      <xdr:row>211</xdr:row>
      <xdr:rowOff>11075</xdr:rowOff>
    </xdr:to>
    <xdr:cxnSp macro="">
      <xdr:nvCxnSpPr>
        <xdr:cNvPr id="43" name="Straight Arrow Connector 42">
          <a:extLst>
            <a:ext uri="{FF2B5EF4-FFF2-40B4-BE49-F238E27FC236}">
              <a16:creationId xmlns:a16="http://schemas.microsoft.com/office/drawing/2014/main" id="{00000000-0008-0000-0400-00002B000000}"/>
            </a:ext>
          </a:extLst>
        </xdr:cNvPr>
        <xdr:cNvCxnSpPr/>
      </xdr:nvCxnSpPr>
      <xdr:spPr>
        <a:xfrm flipV="1">
          <a:off x="8098243" y="40020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180</xdr:row>
      <xdr:rowOff>44302</xdr:rowOff>
    </xdr:from>
    <xdr:to>
      <xdr:col>11</xdr:col>
      <xdr:colOff>354418</xdr:colOff>
      <xdr:row>181</xdr:row>
      <xdr:rowOff>11075</xdr:rowOff>
    </xdr:to>
    <xdr:cxnSp macro="">
      <xdr:nvCxnSpPr>
        <xdr:cNvPr id="44" name="Straight Arrow Connector 43">
          <a:extLst>
            <a:ext uri="{FF2B5EF4-FFF2-40B4-BE49-F238E27FC236}">
              <a16:creationId xmlns:a16="http://schemas.microsoft.com/office/drawing/2014/main" id="{00000000-0008-0000-0400-00002C000000}"/>
            </a:ext>
          </a:extLst>
        </xdr:cNvPr>
        <xdr:cNvCxnSpPr/>
      </xdr:nvCxnSpPr>
      <xdr:spPr>
        <a:xfrm flipV="1">
          <a:off x="8098243" y="34305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579435</xdr:colOff>
      <xdr:row>12</xdr:row>
      <xdr:rowOff>110478</xdr:rowOff>
    </xdr:from>
    <xdr:to>
      <xdr:col>23</xdr:col>
      <xdr:colOff>41272</xdr:colOff>
      <xdr:row>25</xdr:row>
      <xdr:rowOff>148578</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559594</xdr:colOff>
      <xdr:row>26</xdr:row>
      <xdr:rowOff>148351</xdr:rowOff>
    </xdr:from>
    <xdr:to>
      <xdr:col>23</xdr:col>
      <xdr:colOff>21431</xdr:colOff>
      <xdr:row>39</xdr:row>
      <xdr:rowOff>186451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68297</xdr:colOff>
      <xdr:row>103</xdr:row>
      <xdr:rowOff>42258</xdr:rowOff>
    </xdr:from>
    <xdr:to>
      <xdr:col>13</xdr:col>
      <xdr:colOff>102410</xdr:colOff>
      <xdr:row>116</xdr:row>
      <xdr:rowOff>154875</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V="1">
          <a:off x="5306483" y="36769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00000000-0008-0000-0800-000008000000}"/>
            </a:ext>
          </a:extLst>
        </xdr:cNvPr>
        <xdr:cNvCxnSpPr/>
      </xdr:nvCxnSpPr>
      <xdr:spPr>
        <a:xfrm>
          <a:off x="6693096" y="36880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202</xdr:row>
      <xdr:rowOff>51445</xdr:rowOff>
    </xdr:from>
    <xdr:to>
      <xdr:col>3</xdr:col>
      <xdr:colOff>402462</xdr:colOff>
      <xdr:row>203</xdr:row>
      <xdr:rowOff>72612</xdr:rowOff>
    </xdr:to>
    <xdr:cxnSp macro="">
      <xdr:nvCxnSpPr>
        <xdr:cNvPr id="9" name="Straight Arrow Connector 8">
          <a:extLst>
            <a:ext uri="{FF2B5EF4-FFF2-40B4-BE49-F238E27FC236}">
              <a16:creationId xmlns:a16="http://schemas.microsoft.com/office/drawing/2014/main" id="{00000000-0008-0000-0800-000009000000}"/>
            </a:ext>
          </a:extLst>
        </xdr:cNvPr>
        <xdr:cNvCxnSpPr/>
      </xdr:nvCxnSpPr>
      <xdr:spPr>
        <a:xfrm>
          <a:off x="2478912" y="32788870"/>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flipV="1">
          <a:off x="5306483" y="42484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00000000-0008-0000-0800-00000B000000}"/>
            </a:ext>
          </a:extLst>
        </xdr:cNvPr>
        <xdr:cNvCxnSpPr/>
      </xdr:nvCxnSpPr>
      <xdr:spPr>
        <a:xfrm>
          <a:off x="6670945" y="42573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800-00000C000000}"/>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0000000-0008-0000-0800-00000D000000}"/>
            </a:ext>
          </a:extLst>
        </xdr:cNvPr>
        <xdr:cNvCxnSpPr/>
      </xdr:nvCxnSpPr>
      <xdr:spPr>
        <a:xfrm>
          <a:off x="975094" y="16662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00000000-0008-0000-0800-00000E000000}"/>
            </a:ext>
          </a:extLst>
        </xdr:cNvPr>
        <xdr:cNvCxnSpPr/>
      </xdr:nvCxnSpPr>
      <xdr:spPr>
        <a:xfrm flipV="1">
          <a:off x="2176131" y="16717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0000000-0008-0000-0800-000012000000}"/>
            </a:ext>
          </a:extLst>
        </xdr:cNvPr>
        <xdr:cNvCxnSpPr/>
      </xdr:nvCxnSpPr>
      <xdr:spPr>
        <a:xfrm flipV="1">
          <a:off x="3850094" y="32558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00000000-0008-0000-0800-000013000000}"/>
            </a:ext>
          </a:extLst>
        </xdr:cNvPr>
        <xdr:cNvCxnSpPr/>
      </xdr:nvCxnSpPr>
      <xdr:spPr>
        <a:xfrm>
          <a:off x="4577095" y="32569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00000000-0008-0000-0800-000015000000}"/>
            </a:ext>
          </a:extLst>
        </xdr:cNvPr>
        <xdr:cNvCxnSpPr/>
      </xdr:nvCxnSpPr>
      <xdr:spPr>
        <a:xfrm>
          <a:off x="3850094" y="35213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0000000-0008-0000-0800-000016000000}"/>
            </a:ext>
          </a:extLst>
        </xdr:cNvPr>
        <xdr:cNvCxnSpPr/>
      </xdr:nvCxnSpPr>
      <xdr:spPr>
        <a:xfrm flipV="1">
          <a:off x="3850094" y="35067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00000000-0008-0000-0800-000017000000}"/>
            </a:ext>
          </a:extLst>
        </xdr:cNvPr>
        <xdr:cNvCxnSpPr/>
      </xdr:nvCxnSpPr>
      <xdr:spPr>
        <a:xfrm>
          <a:off x="12474871" y="35078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498401</xdr:colOff>
      <xdr:row>134</xdr:row>
      <xdr:rowOff>55378</xdr:rowOff>
    </xdr:from>
    <xdr:to>
      <xdr:col>16</xdr:col>
      <xdr:colOff>343344</xdr:colOff>
      <xdr:row>140</xdr:row>
      <xdr:rowOff>88604</xdr:rowOff>
    </xdr:to>
    <xdr:cxnSp macro="">
      <xdr:nvCxnSpPr>
        <xdr:cNvPr id="24" name="Straight Connector 23">
          <a:extLst>
            <a:ext uri="{FF2B5EF4-FFF2-40B4-BE49-F238E27FC236}">
              <a16:creationId xmlns:a16="http://schemas.microsoft.com/office/drawing/2014/main" id="{00000000-0008-0000-0800-000018000000}"/>
            </a:ext>
          </a:extLst>
        </xdr:cNvPr>
        <xdr:cNvCxnSpPr/>
      </xdr:nvCxnSpPr>
      <xdr:spPr>
        <a:xfrm flipV="1">
          <a:off x="8956601" y="19867378"/>
          <a:ext cx="2692918" cy="117622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288798</xdr:colOff>
      <xdr:row>26</xdr:row>
      <xdr:rowOff>74205</xdr:rowOff>
    </xdr:from>
    <xdr:to>
      <xdr:col>10</xdr:col>
      <xdr:colOff>643217</xdr:colOff>
      <xdr:row>26</xdr:row>
      <xdr:rowOff>74205</xdr:rowOff>
    </xdr:to>
    <xdr:cxnSp macro="">
      <xdr:nvCxnSpPr>
        <xdr:cNvPr id="25" name="Straight Arrow Connector 24">
          <a:extLst>
            <a:ext uri="{FF2B5EF4-FFF2-40B4-BE49-F238E27FC236}">
              <a16:creationId xmlns:a16="http://schemas.microsoft.com/office/drawing/2014/main" id="{00000000-0008-0000-0800-000019000000}"/>
            </a:ext>
          </a:extLst>
        </xdr:cNvPr>
        <xdr:cNvCxnSpPr/>
      </xdr:nvCxnSpPr>
      <xdr:spPr>
        <a:xfrm flipH="1">
          <a:off x="7301579" y="5027205"/>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00000000-0008-0000-0800-00001A000000}"/>
            </a:ext>
          </a:extLst>
        </xdr:cNvPr>
        <xdr:cNvSpPr/>
      </xdr:nvSpPr>
      <xdr:spPr>
        <a:xfrm>
          <a:off x="1141227" y="19654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00000000-0008-0000-0800-00001B000000}"/>
            </a:ext>
          </a:extLst>
        </xdr:cNvPr>
        <xdr:cNvSpPr/>
      </xdr:nvSpPr>
      <xdr:spPr>
        <a:xfrm>
          <a:off x="1138568" y="20516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00000000-0008-0000-0800-00001C000000}"/>
            </a:ext>
          </a:extLst>
        </xdr:cNvPr>
        <xdr:cNvCxnSpPr/>
      </xdr:nvCxnSpPr>
      <xdr:spPr>
        <a:xfrm flipH="1">
          <a:off x="4422039" y="18230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00000000-0008-0000-0800-00001D000000}"/>
            </a:ext>
          </a:extLst>
        </xdr:cNvPr>
        <xdr:cNvCxnSpPr/>
      </xdr:nvCxnSpPr>
      <xdr:spPr>
        <a:xfrm>
          <a:off x="533400" y="19497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99680</xdr:colOff>
      <xdr:row>199</xdr:row>
      <xdr:rowOff>143983</xdr:rowOff>
    </xdr:from>
    <xdr:to>
      <xdr:col>13</xdr:col>
      <xdr:colOff>609157</xdr:colOff>
      <xdr:row>201</xdr:row>
      <xdr:rowOff>99682</xdr:rowOff>
    </xdr:to>
    <xdr:cxnSp macro="">
      <xdr:nvCxnSpPr>
        <xdr:cNvPr id="30" name="Straight Connector 29">
          <a:extLst>
            <a:ext uri="{FF2B5EF4-FFF2-40B4-BE49-F238E27FC236}">
              <a16:creationId xmlns:a16="http://schemas.microsoft.com/office/drawing/2014/main" id="{00000000-0008-0000-0800-00001E000000}"/>
            </a:ext>
          </a:extLst>
        </xdr:cNvPr>
        <xdr:cNvCxnSpPr/>
      </xdr:nvCxnSpPr>
      <xdr:spPr>
        <a:xfrm flipV="1">
          <a:off x="9262730" y="32309908"/>
          <a:ext cx="509477" cy="3366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254738</xdr:colOff>
      <xdr:row>200</xdr:row>
      <xdr:rowOff>22151</xdr:rowOff>
    </xdr:from>
    <xdr:to>
      <xdr:col>15</xdr:col>
      <xdr:colOff>376573</xdr:colOff>
      <xdr:row>201</xdr:row>
      <xdr:rowOff>11078</xdr:rowOff>
    </xdr:to>
    <xdr:cxnSp macro="">
      <xdr:nvCxnSpPr>
        <xdr:cNvPr id="31" name="Straight Connector 30">
          <a:extLst>
            <a:ext uri="{FF2B5EF4-FFF2-40B4-BE49-F238E27FC236}">
              <a16:creationId xmlns:a16="http://schemas.microsoft.com/office/drawing/2014/main" id="{00000000-0008-0000-0800-00001F000000}"/>
            </a:ext>
          </a:extLst>
        </xdr:cNvPr>
        <xdr:cNvCxnSpPr/>
      </xdr:nvCxnSpPr>
      <xdr:spPr>
        <a:xfrm flipH="1" flipV="1">
          <a:off x="10846538" y="32378576"/>
          <a:ext cx="121835" cy="179427"/>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2" name="Straight Arrow Connector 31">
          <a:extLst>
            <a:ext uri="{FF2B5EF4-FFF2-40B4-BE49-F238E27FC236}">
              <a16:creationId xmlns:a16="http://schemas.microsoft.com/office/drawing/2014/main" id="{00000000-0008-0000-0800-000020000000}"/>
            </a:ext>
          </a:extLst>
        </xdr:cNvPr>
        <xdr:cNvCxnSpPr/>
      </xdr:nvCxnSpPr>
      <xdr:spPr>
        <a:xfrm>
          <a:off x="12456163" y="39343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3" name="Straight Arrow Connector 32">
          <a:extLst>
            <a:ext uri="{FF2B5EF4-FFF2-40B4-BE49-F238E27FC236}">
              <a16:creationId xmlns:a16="http://schemas.microsoft.com/office/drawing/2014/main" id="{00000000-0008-0000-0800-000021000000}"/>
            </a:ext>
          </a:extLst>
        </xdr:cNvPr>
        <xdr:cNvCxnSpPr/>
      </xdr:nvCxnSpPr>
      <xdr:spPr>
        <a:xfrm flipV="1">
          <a:off x="12450898" y="39244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4" name="Straight Connector 33">
          <a:extLst>
            <a:ext uri="{FF2B5EF4-FFF2-40B4-BE49-F238E27FC236}">
              <a16:creationId xmlns:a16="http://schemas.microsoft.com/office/drawing/2014/main" id="{00000000-0008-0000-0800-000022000000}"/>
            </a:ext>
          </a:extLst>
        </xdr:cNvPr>
        <xdr:cNvCxnSpPr/>
      </xdr:nvCxnSpPr>
      <xdr:spPr>
        <a:xfrm>
          <a:off x="10242919" y="44995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5" name="Straight Connector 34">
          <a:extLst>
            <a:ext uri="{FF2B5EF4-FFF2-40B4-BE49-F238E27FC236}">
              <a16:creationId xmlns:a16="http://schemas.microsoft.com/office/drawing/2014/main" id="{00000000-0008-0000-0800-000023000000}"/>
            </a:ext>
          </a:extLst>
        </xdr:cNvPr>
        <xdr:cNvCxnSpPr/>
      </xdr:nvCxnSpPr>
      <xdr:spPr>
        <a:xfrm flipH="1">
          <a:off x="11549838" y="44984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44301</xdr:colOff>
      <xdr:row>185</xdr:row>
      <xdr:rowOff>4</xdr:rowOff>
    </xdr:from>
    <xdr:to>
      <xdr:col>14</xdr:col>
      <xdr:colOff>653458</xdr:colOff>
      <xdr:row>185</xdr:row>
      <xdr:rowOff>4</xdr:rowOff>
    </xdr:to>
    <xdr:cxnSp macro="">
      <xdr:nvCxnSpPr>
        <xdr:cNvPr id="36" name="Straight Connector 35">
          <a:extLst>
            <a:ext uri="{FF2B5EF4-FFF2-40B4-BE49-F238E27FC236}">
              <a16:creationId xmlns:a16="http://schemas.microsoft.com/office/drawing/2014/main" id="{00000000-0008-0000-0800-000024000000}"/>
            </a:ext>
          </a:extLst>
        </xdr:cNvPr>
        <xdr:cNvCxnSpPr/>
      </xdr:nvCxnSpPr>
      <xdr:spPr>
        <a:xfrm>
          <a:off x="8502501" y="29527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553780</xdr:colOff>
      <xdr:row>313</xdr:row>
      <xdr:rowOff>35165</xdr:rowOff>
    </xdr:from>
    <xdr:to>
      <xdr:col>12</xdr:col>
      <xdr:colOff>419764</xdr:colOff>
      <xdr:row>333</xdr:row>
      <xdr:rowOff>96525</xdr:rowOff>
    </xdr:to>
    <xdr:graphicFrame macro="">
      <xdr:nvGraphicFramePr>
        <xdr:cNvPr id="37" name="Chart 36">
          <a:extLst>
            <a:ext uri="{FF2B5EF4-FFF2-40B4-BE49-F238E27FC236}">
              <a16:creationId xmlns:a16="http://schemas.microsoft.com/office/drawing/2014/main" id="{00000000-0008-0000-08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276889</xdr:colOff>
      <xdr:row>5</xdr:row>
      <xdr:rowOff>132907</xdr:rowOff>
    </xdr:from>
    <xdr:to>
      <xdr:col>14</xdr:col>
      <xdr:colOff>631308</xdr:colOff>
      <xdr:row>6</xdr:row>
      <xdr:rowOff>55378</xdr:rowOff>
    </xdr:to>
    <xdr:cxnSp macro="">
      <xdr:nvCxnSpPr>
        <xdr:cNvPr id="38" name="Straight Arrow Connector 37">
          <a:extLst>
            <a:ext uri="{FF2B5EF4-FFF2-40B4-BE49-F238E27FC236}">
              <a16:creationId xmlns:a16="http://schemas.microsoft.com/office/drawing/2014/main" id="{00000000-0008-0000-0800-000026000000}"/>
            </a:ext>
          </a:extLst>
        </xdr:cNvPr>
        <xdr:cNvCxnSpPr/>
      </xdr:nvCxnSpPr>
      <xdr:spPr>
        <a:xfrm>
          <a:off x="10154314" y="1085407"/>
          <a:ext cx="354419" cy="112971"/>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13</xdr:col>
      <xdr:colOff>200468</xdr:colOff>
      <xdr:row>103</xdr:row>
      <xdr:rowOff>23923</xdr:rowOff>
    </xdr:from>
    <xdr:to>
      <xdr:col>18</xdr:col>
      <xdr:colOff>593873</xdr:colOff>
      <xdr:row>116</xdr:row>
      <xdr:rowOff>136540</xdr:rowOff>
    </xdr:to>
    <xdr:graphicFrame macro="">
      <xdr:nvGraphicFramePr>
        <xdr:cNvPr id="46" name="Chart 45">
          <a:extLst>
            <a:ext uri="{FF2B5EF4-FFF2-40B4-BE49-F238E27FC236}">
              <a16:creationId xmlns:a16="http://schemas.microsoft.com/office/drawing/2014/main" id="{00000000-0008-0000-0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607218</xdr:colOff>
      <xdr:row>150</xdr:row>
      <xdr:rowOff>35719</xdr:rowOff>
    </xdr:from>
    <xdr:to>
      <xdr:col>4</xdr:col>
      <xdr:colOff>226219</xdr:colOff>
      <xdr:row>152</xdr:row>
      <xdr:rowOff>178594</xdr:rowOff>
    </xdr:to>
    <xdr:cxnSp macro="">
      <xdr:nvCxnSpPr>
        <xdr:cNvPr id="49" name="Straight Arrow Connector 48">
          <a:extLst>
            <a:ext uri="{FF2B5EF4-FFF2-40B4-BE49-F238E27FC236}">
              <a16:creationId xmlns:a16="http://schemas.microsoft.com/office/drawing/2014/main" id="{00000000-0008-0000-0800-000031000000}"/>
            </a:ext>
          </a:extLst>
        </xdr:cNvPr>
        <xdr:cNvCxnSpPr/>
      </xdr:nvCxnSpPr>
      <xdr:spPr>
        <a:xfrm>
          <a:off x="2678906" y="22895719"/>
          <a:ext cx="321469" cy="523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357187</xdr:colOff>
      <xdr:row>53</xdr:row>
      <xdr:rowOff>83343</xdr:rowOff>
    </xdr:from>
    <xdr:to>
      <xdr:col>2</xdr:col>
      <xdr:colOff>357187</xdr:colOff>
      <xdr:row>55</xdr:row>
      <xdr:rowOff>142874</xdr:rowOff>
    </xdr:to>
    <xdr:cxnSp macro="">
      <xdr:nvCxnSpPr>
        <xdr:cNvPr id="16" name="Straight Arrow Connector 15">
          <a:extLst>
            <a:ext uri="{FF2B5EF4-FFF2-40B4-BE49-F238E27FC236}">
              <a16:creationId xmlns:a16="http://schemas.microsoft.com/office/drawing/2014/main" id="{00000000-0008-0000-0800-000010000000}"/>
            </a:ext>
          </a:extLst>
        </xdr:cNvPr>
        <xdr:cNvCxnSpPr/>
      </xdr:nvCxnSpPr>
      <xdr:spPr>
        <a:xfrm>
          <a:off x="1726406"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53</xdr:row>
      <xdr:rowOff>80962</xdr:rowOff>
    </xdr:from>
    <xdr:to>
      <xdr:col>5</xdr:col>
      <xdr:colOff>354806</xdr:colOff>
      <xdr:row>55</xdr:row>
      <xdr:rowOff>140493</xdr:rowOff>
    </xdr:to>
    <xdr:cxnSp macro="">
      <xdr:nvCxnSpPr>
        <xdr:cNvPr id="41" name="Straight Arrow Connector 40">
          <a:extLst>
            <a:ext uri="{FF2B5EF4-FFF2-40B4-BE49-F238E27FC236}">
              <a16:creationId xmlns:a16="http://schemas.microsoft.com/office/drawing/2014/main" id="{00000000-0008-0000-0800-000029000000}"/>
            </a:ext>
          </a:extLst>
        </xdr:cNvPr>
        <xdr:cNvCxnSpPr/>
      </xdr:nvCxnSpPr>
      <xdr:spPr>
        <a:xfrm>
          <a:off x="3843337"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54</xdr:row>
      <xdr:rowOff>83344</xdr:rowOff>
    </xdr:from>
    <xdr:to>
      <xdr:col>3</xdr:col>
      <xdr:colOff>304799</xdr:colOff>
      <xdr:row>55</xdr:row>
      <xdr:rowOff>138112</xdr:rowOff>
    </xdr:to>
    <xdr:cxnSp macro="">
      <xdr:nvCxnSpPr>
        <xdr:cNvPr id="42" name="Straight Arrow Connector 41">
          <a:extLst>
            <a:ext uri="{FF2B5EF4-FFF2-40B4-BE49-F238E27FC236}">
              <a16:creationId xmlns:a16="http://schemas.microsoft.com/office/drawing/2014/main" id="{00000000-0008-0000-0800-00002A000000}"/>
            </a:ext>
          </a:extLst>
        </xdr:cNvPr>
        <xdr:cNvCxnSpPr/>
      </xdr:nvCxnSpPr>
      <xdr:spPr>
        <a:xfrm>
          <a:off x="2376487"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54</xdr:row>
      <xdr:rowOff>95249</xdr:rowOff>
    </xdr:from>
    <xdr:to>
      <xdr:col>6</xdr:col>
      <xdr:colOff>297656</xdr:colOff>
      <xdr:row>55</xdr:row>
      <xdr:rowOff>150017</xdr:rowOff>
    </xdr:to>
    <xdr:cxnSp macro="">
      <xdr:nvCxnSpPr>
        <xdr:cNvPr id="44" name="Straight Arrow Connector 43">
          <a:extLst>
            <a:ext uri="{FF2B5EF4-FFF2-40B4-BE49-F238E27FC236}">
              <a16:creationId xmlns:a16="http://schemas.microsoft.com/office/drawing/2014/main" id="{00000000-0008-0000-0800-00002C000000}"/>
            </a:ext>
          </a:extLst>
        </xdr:cNvPr>
        <xdr:cNvCxnSpPr/>
      </xdr:nvCxnSpPr>
      <xdr:spPr>
        <a:xfrm>
          <a:off x="4488656"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55</xdr:row>
      <xdr:rowOff>23813</xdr:rowOff>
    </xdr:from>
    <xdr:to>
      <xdr:col>4</xdr:col>
      <xdr:colOff>345281</xdr:colOff>
      <xdr:row>55</xdr:row>
      <xdr:rowOff>150018</xdr:rowOff>
    </xdr:to>
    <xdr:cxnSp macro="">
      <xdr:nvCxnSpPr>
        <xdr:cNvPr id="45" name="Straight Arrow Connector 44">
          <a:extLst>
            <a:ext uri="{FF2B5EF4-FFF2-40B4-BE49-F238E27FC236}">
              <a16:creationId xmlns:a16="http://schemas.microsoft.com/office/drawing/2014/main" id="{00000000-0008-0000-0800-00002D000000}"/>
            </a:ext>
          </a:extLst>
        </xdr:cNvPr>
        <xdr:cNvCxnSpPr/>
      </xdr:nvCxnSpPr>
      <xdr:spPr>
        <a:xfrm>
          <a:off x="3119437"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55</xdr:row>
      <xdr:rowOff>23813</xdr:rowOff>
    </xdr:from>
    <xdr:to>
      <xdr:col>7</xdr:col>
      <xdr:colOff>333374</xdr:colOff>
      <xdr:row>55</xdr:row>
      <xdr:rowOff>150018</xdr:rowOff>
    </xdr:to>
    <xdr:cxnSp macro="">
      <xdr:nvCxnSpPr>
        <xdr:cNvPr id="47" name="Straight Arrow Connector 46">
          <a:extLst>
            <a:ext uri="{FF2B5EF4-FFF2-40B4-BE49-F238E27FC236}">
              <a16:creationId xmlns:a16="http://schemas.microsoft.com/office/drawing/2014/main" id="{00000000-0008-0000-0800-00002F000000}"/>
            </a:ext>
          </a:extLst>
        </xdr:cNvPr>
        <xdr:cNvCxnSpPr/>
      </xdr:nvCxnSpPr>
      <xdr:spPr>
        <a:xfrm>
          <a:off x="5238749"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53</xdr:row>
      <xdr:rowOff>78581</xdr:rowOff>
    </xdr:from>
    <xdr:to>
      <xdr:col>8</xdr:col>
      <xdr:colOff>459580</xdr:colOff>
      <xdr:row>55</xdr:row>
      <xdr:rowOff>138112</xdr:rowOff>
    </xdr:to>
    <xdr:cxnSp macro="">
      <xdr:nvCxnSpPr>
        <xdr:cNvPr id="48" name="Straight Arrow Connector 47">
          <a:extLst>
            <a:ext uri="{FF2B5EF4-FFF2-40B4-BE49-F238E27FC236}">
              <a16:creationId xmlns:a16="http://schemas.microsoft.com/office/drawing/2014/main" id="{00000000-0008-0000-0800-000030000000}"/>
            </a:ext>
          </a:extLst>
        </xdr:cNvPr>
        <xdr:cNvCxnSpPr/>
      </xdr:nvCxnSpPr>
      <xdr:spPr>
        <a:xfrm>
          <a:off x="6067424"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357187</xdr:colOff>
      <xdr:row>53</xdr:row>
      <xdr:rowOff>83343</xdr:rowOff>
    </xdr:from>
    <xdr:to>
      <xdr:col>12</xdr:col>
      <xdr:colOff>357187</xdr:colOff>
      <xdr:row>55</xdr:row>
      <xdr:rowOff>142874</xdr:rowOff>
    </xdr:to>
    <xdr:cxnSp macro="">
      <xdr:nvCxnSpPr>
        <xdr:cNvPr id="50" name="Straight Arrow Connector 49">
          <a:extLst>
            <a:ext uri="{FF2B5EF4-FFF2-40B4-BE49-F238E27FC236}">
              <a16:creationId xmlns:a16="http://schemas.microsoft.com/office/drawing/2014/main" id="{00000000-0008-0000-0800-000032000000}"/>
            </a:ext>
          </a:extLst>
        </xdr:cNvPr>
        <xdr:cNvCxnSpPr/>
      </xdr:nvCxnSpPr>
      <xdr:spPr>
        <a:xfrm>
          <a:off x="1726406"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354806</xdr:colOff>
      <xdr:row>53</xdr:row>
      <xdr:rowOff>80962</xdr:rowOff>
    </xdr:from>
    <xdr:to>
      <xdr:col>15</xdr:col>
      <xdr:colOff>354806</xdr:colOff>
      <xdr:row>55</xdr:row>
      <xdr:rowOff>140493</xdr:rowOff>
    </xdr:to>
    <xdr:cxnSp macro="">
      <xdr:nvCxnSpPr>
        <xdr:cNvPr id="51" name="Straight Arrow Connector 50">
          <a:extLst>
            <a:ext uri="{FF2B5EF4-FFF2-40B4-BE49-F238E27FC236}">
              <a16:creationId xmlns:a16="http://schemas.microsoft.com/office/drawing/2014/main" id="{00000000-0008-0000-0800-000033000000}"/>
            </a:ext>
          </a:extLst>
        </xdr:cNvPr>
        <xdr:cNvCxnSpPr/>
      </xdr:nvCxnSpPr>
      <xdr:spPr>
        <a:xfrm>
          <a:off x="3843337"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304799</xdr:colOff>
      <xdr:row>54</xdr:row>
      <xdr:rowOff>83344</xdr:rowOff>
    </xdr:from>
    <xdr:to>
      <xdr:col>13</xdr:col>
      <xdr:colOff>304799</xdr:colOff>
      <xdr:row>55</xdr:row>
      <xdr:rowOff>138112</xdr:rowOff>
    </xdr:to>
    <xdr:cxnSp macro="">
      <xdr:nvCxnSpPr>
        <xdr:cNvPr id="52" name="Straight Arrow Connector 51">
          <a:extLst>
            <a:ext uri="{FF2B5EF4-FFF2-40B4-BE49-F238E27FC236}">
              <a16:creationId xmlns:a16="http://schemas.microsoft.com/office/drawing/2014/main" id="{00000000-0008-0000-0800-000034000000}"/>
            </a:ext>
          </a:extLst>
        </xdr:cNvPr>
        <xdr:cNvCxnSpPr/>
      </xdr:nvCxnSpPr>
      <xdr:spPr>
        <a:xfrm>
          <a:off x="2376487"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297656</xdr:colOff>
      <xdr:row>54</xdr:row>
      <xdr:rowOff>95249</xdr:rowOff>
    </xdr:from>
    <xdr:to>
      <xdr:col>16</xdr:col>
      <xdr:colOff>297656</xdr:colOff>
      <xdr:row>55</xdr:row>
      <xdr:rowOff>150017</xdr:rowOff>
    </xdr:to>
    <xdr:cxnSp macro="">
      <xdr:nvCxnSpPr>
        <xdr:cNvPr id="53" name="Straight Arrow Connector 52">
          <a:extLst>
            <a:ext uri="{FF2B5EF4-FFF2-40B4-BE49-F238E27FC236}">
              <a16:creationId xmlns:a16="http://schemas.microsoft.com/office/drawing/2014/main" id="{00000000-0008-0000-0800-000035000000}"/>
            </a:ext>
          </a:extLst>
        </xdr:cNvPr>
        <xdr:cNvCxnSpPr/>
      </xdr:nvCxnSpPr>
      <xdr:spPr>
        <a:xfrm>
          <a:off x="4488656"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345281</xdr:colOff>
      <xdr:row>55</xdr:row>
      <xdr:rowOff>23813</xdr:rowOff>
    </xdr:from>
    <xdr:to>
      <xdr:col>14</xdr:col>
      <xdr:colOff>345281</xdr:colOff>
      <xdr:row>55</xdr:row>
      <xdr:rowOff>150018</xdr:rowOff>
    </xdr:to>
    <xdr:cxnSp macro="">
      <xdr:nvCxnSpPr>
        <xdr:cNvPr id="54" name="Straight Arrow Connector 53">
          <a:extLst>
            <a:ext uri="{FF2B5EF4-FFF2-40B4-BE49-F238E27FC236}">
              <a16:creationId xmlns:a16="http://schemas.microsoft.com/office/drawing/2014/main" id="{00000000-0008-0000-0800-000036000000}"/>
            </a:ext>
          </a:extLst>
        </xdr:cNvPr>
        <xdr:cNvCxnSpPr/>
      </xdr:nvCxnSpPr>
      <xdr:spPr>
        <a:xfrm>
          <a:off x="3119437"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333374</xdr:colOff>
      <xdr:row>55</xdr:row>
      <xdr:rowOff>23813</xdr:rowOff>
    </xdr:from>
    <xdr:to>
      <xdr:col>17</xdr:col>
      <xdr:colOff>333374</xdr:colOff>
      <xdr:row>55</xdr:row>
      <xdr:rowOff>150018</xdr:rowOff>
    </xdr:to>
    <xdr:cxnSp macro="">
      <xdr:nvCxnSpPr>
        <xdr:cNvPr id="55" name="Straight Arrow Connector 54">
          <a:extLst>
            <a:ext uri="{FF2B5EF4-FFF2-40B4-BE49-F238E27FC236}">
              <a16:creationId xmlns:a16="http://schemas.microsoft.com/office/drawing/2014/main" id="{00000000-0008-0000-0800-000037000000}"/>
            </a:ext>
          </a:extLst>
        </xdr:cNvPr>
        <xdr:cNvCxnSpPr/>
      </xdr:nvCxnSpPr>
      <xdr:spPr>
        <a:xfrm>
          <a:off x="5238749"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459580</xdr:colOff>
      <xdr:row>53</xdr:row>
      <xdr:rowOff>78581</xdr:rowOff>
    </xdr:from>
    <xdr:to>
      <xdr:col>18</xdr:col>
      <xdr:colOff>459580</xdr:colOff>
      <xdr:row>55</xdr:row>
      <xdr:rowOff>138112</xdr:rowOff>
    </xdr:to>
    <xdr:cxnSp macro="">
      <xdr:nvCxnSpPr>
        <xdr:cNvPr id="56" name="Straight Arrow Connector 55">
          <a:extLst>
            <a:ext uri="{FF2B5EF4-FFF2-40B4-BE49-F238E27FC236}">
              <a16:creationId xmlns:a16="http://schemas.microsoft.com/office/drawing/2014/main" id="{00000000-0008-0000-0800-000038000000}"/>
            </a:ext>
          </a:extLst>
        </xdr:cNvPr>
        <xdr:cNvCxnSpPr/>
      </xdr:nvCxnSpPr>
      <xdr:spPr>
        <a:xfrm>
          <a:off x="6067424"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269874</xdr:colOff>
      <xdr:row>22</xdr:row>
      <xdr:rowOff>50947</xdr:rowOff>
    </xdr:from>
    <xdr:to>
      <xdr:col>18</xdr:col>
      <xdr:colOff>116417</xdr:colOff>
      <xdr:row>31</xdr:row>
      <xdr:rowOff>163032</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286245</xdr:colOff>
      <xdr:row>32</xdr:row>
      <xdr:rowOff>29289</xdr:rowOff>
    </xdr:from>
    <xdr:to>
      <xdr:col>18</xdr:col>
      <xdr:colOff>148660</xdr:colOff>
      <xdr:row>41</xdr:row>
      <xdr:rowOff>141374</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68297</xdr:colOff>
      <xdr:row>103</xdr:row>
      <xdr:rowOff>42258</xdr:rowOff>
    </xdr:from>
    <xdr:to>
      <xdr:col>13</xdr:col>
      <xdr:colOff>102410</xdr:colOff>
      <xdr:row>116</xdr:row>
      <xdr:rowOff>154875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flipV="1">
          <a:off x="5306483" y="31626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6693096" y="317369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202</xdr:row>
      <xdr:rowOff>51445</xdr:rowOff>
    </xdr:from>
    <xdr:to>
      <xdr:col>3</xdr:col>
      <xdr:colOff>402462</xdr:colOff>
      <xdr:row>203</xdr:row>
      <xdr:rowOff>72612</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2484671" y="27518887"/>
          <a:ext cx="0" cy="20945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flipV="1">
          <a:off x="5306483" y="373411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00000000-0008-0000-0500-00000B000000}"/>
            </a:ext>
          </a:extLst>
        </xdr:cNvPr>
        <xdr:cNvCxnSpPr/>
      </xdr:nvCxnSpPr>
      <xdr:spPr>
        <a:xfrm>
          <a:off x="6670945" y="374297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500-00000C000000}"/>
            </a:ext>
          </a:extLst>
        </xdr:cNvPr>
        <xdr:cNvCxnSpPr/>
      </xdr:nvCxnSpPr>
      <xdr:spPr>
        <a:xfrm>
          <a:off x="5557285" y="14553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a:off x="975094" y="115186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flipV="1">
          <a:off x="2176131" y="115739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flipV="1">
          <a:off x="10289214" y="23214423"/>
          <a:ext cx="0" cy="199361"/>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a:off x="6036192" y="23214422"/>
          <a:ext cx="0" cy="1993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a:off x="6047268" y="23214422"/>
          <a:ext cx="4230872"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V="1">
          <a:off x="3850094" y="274145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00000000-0008-0000-0500-000013000000}"/>
            </a:ext>
          </a:extLst>
        </xdr:cNvPr>
        <xdr:cNvCxnSpPr/>
      </xdr:nvCxnSpPr>
      <xdr:spPr>
        <a:xfrm>
          <a:off x="4577095" y="274255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00000000-0008-0000-0500-000014000000}"/>
            </a:ext>
          </a:extLst>
        </xdr:cNvPr>
        <xdr:cNvCxnSpPr/>
      </xdr:nvCxnSpPr>
      <xdr:spPr>
        <a:xfrm>
          <a:off x="2428211" y="234509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00000000-0008-0000-0500-000015000000}"/>
            </a:ext>
          </a:extLst>
        </xdr:cNvPr>
        <xdr:cNvCxnSpPr/>
      </xdr:nvCxnSpPr>
      <xdr:spPr>
        <a:xfrm>
          <a:off x="3850094" y="300704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0000000-0008-0000-0500-000016000000}"/>
            </a:ext>
          </a:extLst>
        </xdr:cNvPr>
        <xdr:cNvCxnSpPr/>
      </xdr:nvCxnSpPr>
      <xdr:spPr>
        <a:xfrm flipV="1">
          <a:off x="3850094" y="299242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00000000-0008-0000-0500-000017000000}"/>
            </a:ext>
          </a:extLst>
        </xdr:cNvPr>
        <xdr:cNvCxnSpPr/>
      </xdr:nvCxnSpPr>
      <xdr:spPr>
        <a:xfrm>
          <a:off x="12474871" y="299353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498401</xdr:colOff>
      <xdr:row>134</xdr:row>
      <xdr:rowOff>55378</xdr:rowOff>
    </xdr:from>
    <xdr:to>
      <xdr:col>16</xdr:col>
      <xdr:colOff>343344</xdr:colOff>
      <xdr:row>140</xdr:row>
      <xdr:rowOff>88604</xdr:rowOff>
    </xdr:to>
    <xdr:cxnSp macro="">
      <xdr:nvCxnSpPr>
        <xdr:cNvPr id="25" name="Straight Connector 24">
          <a:extLst>
            <a:ext uri="{FF2B5EF4-FFF2-40B4-BE49-F238E27FC236}">
              <a16:creationId xmlns:a16="http://schemas.microsoft.com/office/drawing/2014/main" id="{00000000-0008-0000-0500-000019000000}"/>
            </a:ext>
          </a:extLst>
        </xdr:cNvPr>
        <xdr:cNvCxnSpPr/>
      </xdr:nvCxnSpPr>
      <xdr:spPr>
        <a:xfrm flipV="1">
          <a:off x="9004448" y="14741599"/>
          <a:ext cx="2713518" cy="116293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7" name="Straight Arrow Connector 26">
          <a:extLst>
            <a:ext uri="{FF2B5EF4-FFF2-40B4-BE49-F238E27FC236}">
              <a16:creationId xmlns:a16="http://schemas.microsoft.com/office/drawing/2014/main" id="{00000000-0008-0000-0500-00001B000000}"/>
            </a:ext>
          </a:extLst>
        </xdr:cNvPr>
        <xdr:cNvCxnSpPr/>
      </xdr:nvCxnSpPr>
      <xdr:spPr>
        <a:xfrm flipH="1">
          <a:off x="5191792" y="54558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8" name="Left Brace 27">
          <a:extLst>
            <a:ext uri="{FF2B5EF4-FFF2-40B4-BE49-F238E27FC236}">
              <a16:creationId xmlns:a16="http://schemas.microsoft.com/office/drawing/2014/main" id="{00000000-0008-0000-0500-00001C000000}"/>
            </a:ext>
          </a:extLst>
        </xdr:cNvPr>
        <xdr:cNvSpPr/>
      </xdr:nvSpPr>
      <xdr:spPr>
        <a:xfrm>
          <a:off x="1141227" y="14701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9" name="Left Brace 28">
          <a:extLst>
            <a:ext uri="{FF2B5EF4-FFF2-40B4-BE49-F238E27FC236}">
              <a16:creationId xmlns:a16="http://schemas.microsoft.com/office/drawing/2014/main" id="{00000000-0008-0000-0500-00001D000000}"/>
            </a:ext>
          </a:extLst>
        </xdr:cNvPr>
        <xdr:cNvSpPr/>
      </xdr:nvSpPr>
      <xdr:spPr>
        <a:xfrm>
          <a:off x="1138568" y="15563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31" name="Straight Arrow Connector 30">
          <a:extLst>
            <a:ext uri="{FF2B5EF4-FFF2-40B4-BE49-F238E27FC236}">
              <a16:creationId xmlns:a16="http://schemas.microsoft.com/office/drawing/2014/main" id="{00000000-0008-0000-0500-00001F000000}"/>
            </a:ext>
          </a:extLst>
        </xdr:cNvPr>
        <xdr:cNvCxnSpPr/>
      </xdr:nvCxnSpPr>
      <xdr:spPr>
        <a:xfrm flipH="1">
          <a:off x="4441311" y="13124564"/>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30" name="Straight Arrow Connector 29">
          <a:extLst>
            <a:ext uri="{FF2B5EF4-FFF2-40B4-BE49-F238E27FC236}">
              <a16:creationId xmlns:a16="http://schemas.microsoft.com/office/drawing/2014/main" id="{00000000-0008-0000-0500-00001E000000}"/>
            </a:ext>
          </a:extLst>
        </xdr:cNvPr>
        <xdr:cNvCxnSpPr/>
      </xdr:nvCxnSpPr>
      <xdr:spPr>
        <a:xfrm>
          <a:off x="533400" y="14544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99680</xdr:colOff>
      <xdr:row>199</xdr:row>
      <xdr:rowOff>143983</xdr:rowOff>
    </xdr:from>
    <xdr:to>
      <xdr:col>13</xdr:col>
      <xdr:colOff>609157</xdr:colOff>
      <xdr:row>201</xdr:row>
      <xdr:rowOff>99682</xdr:rowOff>
    </xdr:to>
    <xdr:cxnSp macro="">
      <xdr:nvCxnSpPr>
        <xdr:cNvPr id="39" name="Straight Connector 38">
          <a:extLst>
            <a:ext uri="{FF2B5EF4-FFF2-40B4-BE49-F238E27FC236}">
              <a16:creationId xmlns:a16="http://schemas.microsoft.com/office/drawing/2014/main" id="{00000000-0008-0000-0500-000027000000}"/>
            </a:ext>
          </a:extLst>
        </xdr:cNvPr>
        <xdr:cNvCxnSpPr/>
      </xdr:nvCxnSpPr>
      <xdr:spPr>
        <a:xfrm flipV="1">
          <a:off x="9314564" y="27046570"/>
          <a:ext cx="509477" cy="33226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254738</xdr:colOff>
      <xdr:row>200</xdr:row>
      <xdr:rowOff>22151</xdr:rowOff>
    </xdr:from>
    <xdr:to>
      <xdr:col>15</xdr:col>
      <xdr:colOff>376573</xdr:colOff>
      <xdr:row>201</xdr:row>
      <xdr:rowOff>11078</xdr:rowOff>
    </xdr:to>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flipH="1" flipV="1">
          <a:off x="10909447" y="27113023"/>
          <a:ext cx="121835" cy="17721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41" name="Straight Arrow Connector 40">
          <a:extLst>
            <a:ext uri="{FF2B5EF4-FFF2-40B4-BE49-F238E27FC236}">
              <a16:creationId xmlns:a16="http://schemas.microsoft.com/office/drawing/2014/main" id="{00000000-0008-0000-0500-000029000000}"/>
            </a:ext>
          </a:extLst>
        </xdr:cNvPr>
        <xdr:cNvCxnSpPr/>
      </xdr:nvCxnSpPr>
      <xdr:spPr>
        <a:xfrm>
          <a:off x="12456163" y="34390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42" name="Straight Arrow Connector 41">
          <a:extLst>
            <a:ext uri="{FF2B5EF4-FFF2-40B4-BE49-F238E27FC236}">
              <a16:creationId xmlns:a16="http://schemas.microsoft.com/office/drawing/2014/main" id="{00000000-0008-0000-0500-00002A000000}"/>
            </a:ext>
          </a:extLst>
        </xdr:cNvPr>
        <xdr:cNvCxnSpPr/>
      </xdr:nvCxnSpPr>
      <xdr:spPr>
        <a:xfrm flipV="1">
          <a:off x="12450898" y="34291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43" name="Straight Connector 42">
          <a:extLst>
            <a:ext uri="{FF2B5EF4-FFF2-40B4-BE49-F238E27FC236}">
              <a16:creationId xmlns:a16="http://schemas.microsoft.com/office/drawing/2014/main" id="{00000000-0008-0000-0500-00002B000000}"/>
            </a:ext>
          </a:extLst>
        </xdr:cNvPr>
        <xdr:cNvCxnSpPr/>
      </xdr:nvCxnSpPr>
      <xdr:spPr>
        <a:xfrm>
          <a:off x="10242919" y="40042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44" name="Straight Connector 43">
          <a:extLst>
            <a:ext uri="{FF2B5EF4-FFF2-40B4-BE49-F238E27FC236}">
              <a16:creationId xmlns:a16="http://schemas.microsoft.com/office/drawing/2014/main" id="{00000000-0008-0000-0500-00002C000000}"/>
            </a:ext>
          </a:extLst>
        </xdr:cNvPr>
        <xdr:cNvCxnSpPr/>
      </xdr:nvCxnSpPr>
      <xdr:spPr>
        <a:xfrm flipH="1">
          <a:off x="11549838" y="40031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44301</xdr:colOff>
      <xdr:row>185</xdr:row>
      <xdr:rowOff>4</xdr:rowOff>
    </xdr:from>
    <xdr:to>
      <xdr:col>14</xdr:col>
      <xdr:colOff>653458</xdr:colOff>
      <xdr:row>185</xdr:row>
      <xdr:rowOff>4</xdr:rowOff>
    </xdr:to>
    <xdr:cxnSp macro="">
      <xdr:nvCxnSpPr>
        <xdr:cNvPr id="46" name="Straight Connector 45">
          <a:extLst>
            <a:ext uri="{FF2B5EF4-FFF2-40B4-BE49-F238E27FC236}">
              <a16:creationId xmlns:a16="http://schemas.microsoft.com/office/drawing/2014/main" id="{00000000-0008-0000-0500-00002E000000}"/>
            </a:ext>
          </a:extLst>
        </xdr:cNvPr>
        <xdr:cNvCxnSpPr/>
      </xdr:nvCxnSpPr>
      <xdr:spPr>
        <a:xfrm>
          <a:off x="8550348" y="24288754"/>
          <a:ext cx="203790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446624</xdr:colOff>
      <xdr:row>319</xdr:row>
      <xdr:rowOff>82790</xdr:rowOff>
    </xdr:from>
    <xdr:to>
      <xdr:col>12</xdr:col>
      <xdr:colOff>312608</xdr:colOff>
      <xdr:row>339</xdr:row>
      <xdr:rowOff>144150</xdr:rowOff>
    </xdr:to>
    <xdr:graphicFrame macro="">
      <xdr:nvGraphicFramePr>
        <xdr:cNvPr id="34" name="Chart 33">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276889</xdr:colOff>
      <xdr:row>5</xdr:row>
      <xdr:rowOff>132907</xdr:rowOff>
    </xdr:from>
    <xdr:to>
      <xdr:col>14</xdr:col>
      <xdr:colOff>631308</xdr:colOff>
      <xdr:row>6</xdr:row>
      <xdr:rowOff>55378</xdr:rowOff>
    </xdr:to>
    <xdr:cxnSp macro="">
      <xdr:nvCxnSpPr>
        <xdr:cNvPr id="26" name="Straight Arrow Connector 25">
          <a:extLst>
            <a:ext uri="{FF2B5EF4-FFF2-40B4-BE49-F238E27FC236}">
              <a16:creationId xmlns:a16="http://schemas.microsoft.com/office/drawing/2014/main" id="{00000000-0008-0000-0500-00001A000000}"/>
            </a:ext>
          </a:extLst>
        </xdr:cNvPr>
        <xdr:cNvCxnSpPr/>
      </xdr:nvCxnSpPr>
      <xdr:spPr>
        <a:xfrm>
          <a:off x="10211686" y="1074331"/>
          <a:ext cx="354419" cy="110756"/>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0</xdr:col>
      <xdr:colOff>276890</xdr:colOff>
      <xdr:row>194</xdr:row>
      <xdr:rowOff>55378</xdr:rowOff>
    </xdr:from>
    <xdr:to>
      <xdr:col>0</xdr:col>
      <xdr:colOff>276890</xdr:colOff>
      <xdr:row>195</xdr:row>
      <xdr:rowOff>88604</xdr:rowOff>
    </xdr:to>
    <xdr:cxnSp macro="">
      <xdr:nvCxnSpPr>
        <xdr:cNvPr id="33" name="Straight Connector 32">
          <a:extLst>
            <a:ext uri="{FF2B5EF4-FFF2-40B4-BE49-F238E27FC236}">
              <a16:creationId xmlns:a16="http://schemas.microsoft.com/office/drawing/2014/main" id="{00000000-0008-0000-0500-000021000000}"/>
            </a:ext>
          </a:extLst>
        </xdr:cNvPr>
        <xdr:cNvCxnSpPr/>
      </xdr:nvCxnSpPr>
      <xdr:spPr>
        <a:xfrm>
          <a:off x="276890" y="26038692"/>
          <a:ext cx="0" cy="2215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332267</xdr:colOff>
      <xdr:row>194</xdr:row>
      <xdr:rowOff>33227</xdr:rowOff>
    </xdr:from>
    <xdr:to>
      <xdr:col>3</xdr:col>
      <xdr:colOff>332267</xdr:colOff>
      <xdr:row>195</xdr:row>
      <xdr:rowOff>66453</xdr:rowOff>
    </xdr:to>
    <xdr:cxnSp macro="">
      <xdr:nvCxnSpPr>
        <xdr:cNvPr id="47" name="Straight Connector 46">
          <a:extLst>
            <a:ext uri="{FF2B5EF4-FFF2-40B4-BE49-F238E27FC236}">
              <a16:creationId xmlns:a16="http://schemas.microsoft.com/office/drawing/2014/main" id="{00000000-0008-0000-0500-00002F000000}"/>
            </a:ext>
          </a:extLst>
        </xdr:cNvPr>
        <xdr:cNvCxnSpPr/>
      </xdr:nvCxnSpPr>
      <xdr:spPr>
        <a:xfrm>
          <a:off x="2414476" y="26016541"/>
          <a:ext cx="0" cy="2215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287967</xdr:colOff>
      <xdr:row>195</xdr:row>
      <xdr:rowOff>44301</xdr:rowOff>
    </xdr:from>
    <xdr:to>
      <xdr:col>3</xdr:col>
      <xdr:colOff>332270</xdr:colOff>
      <xdr:row>195</xdr:row>
      <xdr:rowOff>44301</xdr:rowOff>
    </xdr:to>
    <xdr:cxnSp macro="">
      <xdr:nvCxnSpPr>
        <xdr:cNvPr id="37" name="Straight Connector 36">
          <a:extLst>
            <a:ext uri="{FF2B5EF4-FFF2-40B4-BE49-F238E27FC236}">
              <a16:creationId xmlns:a16="http://schemas.microsoft.com/office/drawing/2014/main" id="{00000000-0008-0000-0500-000025000000}"/>
            </a:ext>
          </a:extLst>
        </xdr:cNvPr>
        <xdr:cNvCxnSpPr/>
      </xdr:nvCxnSpPr>
      <xdr:spPr>
        <a:xfrm>
          <a:off x="287967" y="26215900"/>
          <a:ext cx="21265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48" name="Straight Arrow Connector 47">
          <a:extLst>
            <a:ext uri="{FF2B5EF4-FFF2-40B4-BE49-F238E27FC236}">
              <a16:creationId xmlns:a16="http://schemas.microsoft.com/office/drawing/2014/main" id="{00000000-0008-0000-0500-000030000000}"/>
            </a:ext>
          </a:extLst>
        </xdr:cNvPr>
        <xdr:cNvCxnSpPr/>
      </xdr:nvCxnSpPr>
      <xdr:spPr>
        <a:xfrm flipV="1">
          <a:off x="7383868" y="26333302"/>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9" name="Straight Arrow Connector 48">
          <a:extLst>
            <a:ext uri="{FF2B5EF4-FFF2-40B4-BE49-F238E27FC236}">
              <a16:creationId xmlns:a16="http://schemas.microsoft.com/office/drawing/2014/main" id="{00000000-0008-0000-0500-000031000000}"/>
            </a:ext>
          </a:extLst>
        </xdr:cNvPr>
        <xdr:cNvCxnSpPr/>
      </xdr:nvCxnSpPr>
      <xdr:spPr>
        <a:xfrm flipV="1">
          <a:off x="3850093" y="303052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50" name="Straight Arrow Connector 49">
          <a:extLst>
            <a:ext uri="{FF2B5EF4-FFF2-40B4-BE49-F238E27FC236}">
              <a16:creationId xmlns:a16="http://schemas.microsoft.com/office/drawing/2014/main" id="{00000000-0008-0000-0500-000032000000}"/>
            </a:ext>
          </a:extLst>
        </xdr:cNvPr>
        <xdr:cNvCxnSpPr/>
      </xdr:nvCxnSpPr>
      <xdr:spPr>
        <a:xfrm flipV="1">
          <a:off x="8098243" y="34305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51" name="Straight Arrow Connector 50">
          <a:extLst>
            <a:ext uri="{FF2B5EF4-FFF2-40B4-BE49-F238E27FC236}">
              <a16:creationId xmlns:a16="http://schemas.microsoft.com/office/drawing/2014/main" id="{00000000-0008-0000-0500-000033000000}"/>
            </a:ext>
          </a:extLst>
        </xdr:cNvPr>
        <xdr:cNvCxnSpPr/>
      </xdr:nvCxnSpPr>
      <xdr:spPr>
        <a:xfrm flipV="1">
          <a:off x="8098243" y="40020727"/>
          <a:ext cx="0" cy="157273"/>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200468</xdr:colOff>
      <xdr:row>103</xdr:row>
      <xdr:rowOff>23923</xdr:rowOff>
    </xdr:from>
    <xdr:to>
      <xdr:col>18</xdr:col>
      <xdr:colOff>593873</xdr:colOff>
      <xdr:row>116</xdr:row>
      <xdr:rowOff>136540</xdr:rowOff>
    </xdr:to>
    <xdr:graphicFrame macro="">
      <xdr:nvGraphicFramePr>
        <xdr:cNvPr id="24" name="Chart 23">
          <a:extLst>
            <a:ext uri="{FF2B5EF4-FFF2-40B4-BE49-F238E27FC236}">
              <a16:creationId xmlns:a16="http://schemas.microsoft.com/office/drawing/2014/main" id="{00000000-0008-0000-05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47625</xdr:colOff>
      <xdr:row>279</xdr:row>
      <xdr:rowOff>130968</xdr:rowOff>
    </xdr:from>
    <xdr:to>
      <xdr:col>7</xdr:col>
      <xdr:colOff>642938</xdr:colOff>
      <xdr:row>281</xdr:row>
      <xdr:rowOff>119062</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a:off x="2821781" y="47541656"/>
          <a:ext cx="2726532" cy="369094"/>
        </a:xfrm>
        <a:prstGeom prst="straightConnector1">
          <a:avLst/>
        </a:prstGeom>
        <a:ln>
          <a:tailEnd type="arrow"/>
        </a:ln>
      </xdr:spPr>
      <xdr:style>
        <a:lnRef idx="1">
          <a:schemeClr val="accent4"/>
        </a:lnRef>
        <a:fillRef idx="0">
          <a:schemeClr val="accent4"/>
        </a:fillRef>
        <a:effectRef idx="0">
          <a:schemeClr val="accent4"/>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52" name="Straight Arrow Connector 51">
          <a:extLst>
            <a:ext uri="{FF2B5EF4-FFF2-40B4-BE49-F238E27FC236}">
              <a16:creationId xmlns:a16="http://schemas.microsoft.com/office/drawing/2014/main" id="{00000000-0008-0000-0500-000034000000}"/>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53" name="Straight Arrow Connector 52">
          <a:extLst>
            <a:ext uri="{FF2B5EF4-FFF2-40B4-BE49-F238E27FC236}">
              <a16:creationId xmlns:a16="http://schemas.microsoft.com/office/drawing/2014/main" id="{00000000-0008-0000-0500-000035000000}"/>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54" name="Straight Arrow Connector 53">
          <a:extLst>
            <a:ext uri="{FF2B5EF4-FFF2-40B4-BE49-F238E27FC236}">
              <a16:creationId xmlns:a16="http://schemas.microsoft.com/office/drawing/2014/main" id="{00000000-0008-0000-0500-000036000000}"/>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55" name="Straight Arrow Connector 54">
          <a:extLst>
            <a:ext uri="{FF2B5EF4-FFF2-40B4-BE49-F238E27FC236}">
              <a16:creationId xmlns:a16="http://schemas.microsoft.com/office/drawing/2014/main" id="{00000000-0008-0000-0500-000037000000}"/>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56" name="Straight Arrow Connector 55">
          <a:extLst>
            <a:ext uri="{FF2B5EF4-FFF2-40B4-BE49-F238E27FC236}">
              <a16:creationId xmlns:a16="http://schemas.microsoft.com/office/drawing/2014/main" id="{00000000-0008-0000-0500-000038000000}"/>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57" name="Straight Arrow Connector 56">
          <a:extLst>
            <a:ext uri="{FF2B5EF4-FFF2-40B4-BE49-F238E27FC236}">
              <a16:creationId xmlns:a16="http://schemas.microsoft.com/office/drawing/2014/main" id="{00000000-0008-0000-0500-000039000000}"/>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8" name="Straight Arrow Connector 57">
          <a:extLst>
            <a:ext uri="{FF2B5EF4-FFF2-40B4-BE49-F238E27FC236}">
              <a16:creationId xmlns:a16="http://schemas.microsoft.com/office/drawing/2014/main" id="{00000000-0008-0000-0500-00003A000000}"/>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259291</xdr:colOff>
      <xdr:row>22</xdr:row>
      <xdr:rowOff>42333</xdr:rowOff>
    </xdr:from>
    <xdr:to>
      <xdr:col>18</xdr:col>
      <xdr:colOff>105834</xdr:colOff>
      <xdr:row>31</xdr:row>
      <xdr:rowOff>156633</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275661</xdr:colOff>
      <xdr:row>32</xdr:row>
      <xdr:rowOff>12060</xdr:rowOff>
    </xdr:from>
    <xdr:to>
      <xdr:col>18</xdr:col>
      <xdr:colOff>138076</xdr:colOff>
      <xdr:row>41</xdr:row>
      <xdr:rowOff>126360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329558</xdr:colOff>
      <xdr:row>121</xdr:row>
      <xdr:rowOff>44303</xdr:rowOff>
    </xdr:from>
    <xdr:to>
      <xdr:col>18</xdr:col>
      <xdr:colOff>437213</xdr:colOff>
      <xdr:row>131</xdr:row>
      <xdr:rowOff>173134</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57222</xdr:colOff>
      <xdr:row>103</xdr:row>
      <xdr:rowOff>108712</xdr:rowOff>
    </xdr:from>
    <xdr:to>
      <xdr:col>13</xdr:col>
      <xdr:colOff>91335</xdr:colOff>
      <xdr:row>117</xdr:row>
      <xdr:rowOff>33044</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335833</xdr:colOff>
      <xdr:row>132</xdr:row>
      <xdr:rowOff>54884</xdr:rowOff>
    </xdr:from>
    <xdr:to>
      <xdr:col>18</xdr:col>
      <xdr:colOff>444499</xdr:colOff>
      <xdr:row>143</xdr:row>
      <xdr:rowOff>128968</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391583</xdr:colOff>
      <xdr:row>223</xdr:row>
      <xdr:rowOff>31750</xdr:rowOff>
    </xdr:from>
    <xdr:to>
      <xdr:col>7</xdr:col>
      <xdr:colOff>391583</xdr:colOff>
      <xdr:row>224</xdr:row>
      <xdr:rowOff>10583</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V="1">
          <a:off x="5306483" y="31816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368496</xdr:colOff>
      <xdr:row>223</xdr:row>
      <xdr:rowOff>142506</xdr:rowOff>
    </xdr:from>
    <xdr:to>
      <xdr:col>9</xdr:col>
      <xdr:colOff>368496</xdr:colOff>
      <xdr:row>224</xdr:row>
      <xdr:rowOff>163672</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6693096" y="31927431"/>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402462</xdr:colOff>
      <xdr:row>201</xdr:row>
      <xdr:rowOff>95742</xdr:rowOff>
    </xdr:from>
    <xdr:to>
      <xdr:col>3</xdr:col>
      <xdr:colOff>402462</xdr:colOff>
      <xdr:row>202</xdr:row>
      <xdr:rowOff>116909</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a:off x="2478912" y="27689667"/>
          <a:ext cx="0" cy="21166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391583</xdr:colOff>
      <xdr:row>253</xdr:row>
      <xdr:rowOff>31750</xdr:rowOff>
    </xdr:from>
    <xdr:to>
      <xdr:col>7</xdr:col>
      <xdr:colOff>391583</xdr:colOff>
      <xdr:row>254</xdr:row>
      <xdr:rowOff>10583</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V="1">
          <a:off x="5306483" y="37531675"/>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346345</xdr:colOff>
      <xdr:row>253</xdr:row>
      <xdr:rowOff>120355</xdr:rowOff>
    </xdr:from>
    <xdr:to>
      <xdr:col>9</xdr:col>
      <xdr:colOff>346345</xdr:colOff>
      <xdr:row>254</xdr:row>
      <xdr:rowOff>141522</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a:off x="6670945" y="37620280"/>
          <a:ext cx="0" cy="21166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642385</xdr:colOff>
      <xdr:row>8</xdr:row>
      <xdr:rowOff>121831</xdr:rowOff>
    </xdr:from>
    <xdr:to>
      <xdr:col>12</xdr:col>
      <xdr:colOff>542704</xdr:colOff>
      <xdr:row>8</xdr:row>
      <xdr:rowOff>121831</xdr:rowOff>
    </xdr:to>
    <xdr:cxnSp macro="">
      <xdr:nvCxnSpPr>
        <xdr:cNvPr id="12" name="Straight Arrow Connector 11">
          <a:extLst>
            <a:ext uri="{FF2B5EF4-FFF2-40B4-BE49-F238E27FC236}">
              <a16:creationId xmlns:a16="http://schemas.microsoft.com/office/drawing/2014/main" id="{00000000-0008-0000-0600-00000C000000}"/>
            </a:ext>
          </a:extLst>
        </xdr:cNvPr>
        <xdr:cNvCxnSpPr/>
      </xdr:nvCxnSpPr>
      <xdr:spPr>
        <a:xfrm>
          <a:off x="5557285" y="1645831"/>
          <a:ext cx="34436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365494</xdr:colOff>
      <xdr:row>117</xdr:row>
      <xdr:rowOff>88605</xdr:rowOff>
    </xdr:from>
    <xdr:to>
      <xdr:col>1</xdr:col>
      <xdr:colOff>587006</xdr:colOff>
      <xdr:row>118</xdr:row>
      <xdr:rowOff>88605</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a:off x="975094" y="11709105"/>
          <a:ext cx="221512" cy="19050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99681</xdr:colOff>
      <xdr:row>117</xdr:row>
      <xdr:rowOff>143983</xdr:rowOff>
    </xdr:from>
    <xdr:to>
      <xdr:col>3</xdr:col>
      <xdr:colOff>343343</xdr:colOff>
      <xdr:row>118</xdr:row>
      <xdr:rowOff>99680</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flipV="1">
          <a:off x="2176131" y="11764483"/>
          <a:ext cx="243662" cy="146197"/>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354417</xdr:colOff>
      <xdr:row>179</xdr:row>
      <xdr:rowOff>55382</xdr:rowOff>
    </xdr:from>
    <xdr:to>
      <xdr:col>14</xdr:col>
      <xdr:colOff>354417</xdr:colOff>
      <xdr:row>180</xdr:row>
      <xdr:rowOff>66458</xdr:rowOff>
    </xdr:to>
    <xdr:cxnSp macro="">
      <xdr:nvCxnSpPr>
        <xdr:cNvPr id="15" name="Straight Connector 14">
          <a:extLst>
            <a:ext uri="{FF2B5EF4-FFF2-40B4-BE49-F238E27FC236}">
              <a16:creationId xmlns:a16="http://schemas.microsoft.com/office/drawing/2014/main" id="{00000000-0008-0000-0600-00000F000000}"/>
            </a:ext>
          </a:extLst>
        </xdr:cNvPr>
        <xdr:cNvCxnSpPr/>
      </xdr:nvCxnSpPr>
      <xdr:spPr>
        <a:xfrm flipV="1">
          <a:off x="10231842" y="23486882"/>
          <a:ext cx="0" cy="20157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387645</xdr:colOff>
      <xdr:row>179</xdr:row>
      <xdr:rowOff>55381</xdr:rowOff>
    </xdr:from>
    <xdr:to>
      <xdr:col>8</xdr:col>
      <xdr:colOff>387645</xdr:colOff>
      <xdr:row>180</xdr:row>
      <xdr:rowOff>66456</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6007395" y="23486881"/>
          <a:ext cx="0" cy="2015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398721</xdr:colOff>
      <xdr:row>179</xdr:row>
      <xdr:rowOff>55381</xdr:rowOff>
    </xdr:from>
    <xdr:to>
      <xdr:col>14</xdr:col>
      <xdr:colOff>343343</xdr:colOff>
      <xdr:row>179</xdr:row>
      <xdr:rowOff>55381</xdr:rowOff>
    </xdr:to>
    <xdr:cxnSp macro="">
      <xdr:nvCxnSpPr>
        <xdr:cNvPr id="17" name="Straight Connector 16">
          <a:extLst>
            <a:ext uri="{FF2B5EF4-FFF2-40B4-BE49-F238E27FC236}">
              <a16:creationId xmlns:a16="http://schemas.microsoft.com/office/drawing/2014/main" id="{00000000-0008-0000-0600-000011000000}"/>
            </a:ext>
          </a:extLst>
        </xdr:cNvPr>
        <xdr:cNvCxnSpPr/>
      </xdr:nvCxnSpPr>
      <xdr:spPr>
        <a:xfrm>
          <a:off x="6018471" y="23486881"/>
          <a:ext cx="4202297"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201</xdr:row>
      <xdr:rowOff>11086</xdr:rowOff>
    </xdr:from>
    <xdr:to>
      <xdr:col>5</xdr:col>
      <xdr:colOff>354419</xdr:colOff>
      <xdr:row>201</xdr:row>
      <xdr:rowOff>148246</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V="1">
          <a:off x="3850094" y="2760501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376570</xdr:colOff>
      <xdr:row>201</xdr:row>
      <xdr:rowOff>22156</xdr:rowOff>
    </xdr:from>
    <xdr:to>
      <xdr:col>6</xdr:col>
      <xdr:colOff>376570</xdr:colOff>
      <xdr:row>201</xdr:row>
      <xdr:rowOff>159316</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4577095" y="27616081"/>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351761</xdr:colOff>
      <xdr:row>180</xdr:row>
      <xdr:rowOff>19495</xdr:rowOff>
    </xdr:from>
    <xdr:to>
      <xdr:col>3</xdr:col>
      <xdr:colOff>351761</xdr:colOff>
      <xdr:row>180</xdr:row>
      <xdr:rowOff>184087</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a:off x="2428211" y="23641495"/>
          <a:ext cx="0" cy="16459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354419</xdr:colOff>
      <xdr:row>215</xdr:row>
      <xdr:rowOff>0</xdr:rowOff>
    </xdr:from>
    <xdr:to>
      <xdr:col>17</xdr:col>
      <xdr:colOff>365495</xdr:colOff>
      <xdr:row>215</xdr:row>
      <xdr:rowOff>0</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3850094" y="30260925"/>
          <a:ext cx="8602626"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354419</xdr:colOff>
      <xdr:row>214</xdr:row>
      <xdr:rowOff>44313</xdr:rowOff>
    </xdr:from>
    <xdr:to>
      <xdr:col>5</xdr:col>
      <xdr:colOff>354419</xdr:colOff>
      <xdr:row>214</xdr:row>
      <xdr:rowOff>181473</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flipV="1">
          <a:off x="3850094" y="30114738"/>
          <a:ext cx="0" cy="13716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387646</xdr:colOff>
      <xdr:row>214</xdr:row>
      <xdr:rowOff>55379</xdr:rowOff>
    </xdr:from>
    <xdr:to>
      <xdr:col>17</xdr:col>
      <xdr:colOff>387646</xdr:colOff>
      <xdr:row>215</xdr:row>
      <xdr:rowOff>4254</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12474871" y="30125804"/>
          <a:ext cx="0" cy="1393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498401</xdr:colOff>
      <xdr:row>134</xdr:row>
      <xdr:rowOff>55378</xdr:rowOff>
    </xdr:from>
    <xdr:to>
      <xdr:col>16</xdr:col>
      <xdr:colOff>343344</xdr:colOff>
      <xdr:row>140</xdr:row>
      <xdr:rowOff>88604</xdr:rowOff>
    </xdr:to>
    <xdr:cxnSp macro="">
      <xdr:nvCxnSpPr>
        <xdr:cNvPr id="24" name="Straight Connector 23">
          <a:extLst>
            <a:ext uri="{FF2B5EF4-FFF2-40B4-BE49-F238E27FC236}">
              <a16:creationId xmlns:a16="http://schemas.microsoft.com/office/drawing/2014/main" id="{00000000-0008-0000-0600-000018000000}"/>
            </a:ext>
          </a:extLst>
        </xdr:cNvPr>
        <xdr:cNvCxnSpPr/>
      </xdr:nvCxnSpPr>
      <xdr:spPr>
        <a:xfrm flipV="1">
          <a:off x="8956601" y="14914378"/>
          <a:ext cx="2692918" cy="1176226"/>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276892</xdr:colOff>
      <xdr:row>29</xdr:row>
      <xdr:rowOff>121831</xdr:rowOff>
    </xdr:from>
    <xdr:to>
      <xdr:col>7</xdr:col>
      <xdr:colOff>631311</xdr:colOff>
      <xdr:row>29</xdr:row>
      <xdr:rowOff>121831</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flipH="1">
          <a:off x="5191792" y="5646331"/>
          <a:ext cx="35441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531627</xdr:colOff>
      <xdr:row>133</xdr:row>
      <xdr:rowOff>33227</xdr:rowOff>
    </xdr:from>
    <xdr:to>
      <xdr:col>1</xdr:col>
      <xdr:colOff>650499</xdr:colOff>
      <xdr:row>137</xdr:row>
      <xdr:rowOff>114300</xdr:rowOff>
    </xdr:to>
    <xdr:sp macro="" textlink="">
      <xdr:nvSpPr>
        <xdr:cNvPr id="26" name="Left Brace 25">
          <a:extLst>
            <a:ext uri="{FF2B5EF4-FFF2-40B4-BE49-F238E27FC236}">
              <a16:creationId xmlns:a16="http://schemas.microsoft.com/office/drawing/2014/main" id="{00000000-0008-0000-0600-00001A000000}"/>
            </a:ext>
          </a:extLst>
        </xdr:cNvPr>
        <xdr:cNvSpPr/>
      </xdr:nvSpPr>
      <xdr:spPr>
        <a:xfrm>
          <a:off x="1141227" y="14701727"/>
          <a:ext cx="118872" cy="843073"/>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xdr:col>
      <xdr:colOff>528968</xdr:colOff>
      <xdr:row>137</xdr:row>
      <xdr:rowOff>133351</xdr:rowOff>
    </xdr:from>
    <xdr:to>
      <xdr:col>1</xdr:col>
      <xdr:colOff>647700</xdr:colOff>
      <xdr:row>143</xdr:row>
      <xdr:rowOff>11785</xdr:rowOff>
    </xdr:to>
    <xdr:sp macro="" textlink="">
      <xdr:nvSpPr>
        <xdr:cNvPr id="27" name="Left Brace 26">
          <a:extLst>
            <a:ext uri="{FF2B5EF4-FFF2-40B4-BE49-F238E27FC236}">
              <a16:creationId xmlns:a16="http://schemas.microsoft.com/office/drawing/2014/main" id="{00000000-0008-0000-0600-00001B000000}"/>
            </a:ext>
          </a:extLst>
        </xdr:cNvPr>
        <xdr:cNvSpPr/>
      </xdr:nvSpPr>
      <xdr:spPr>
        <a:xfrm>
          <a:off x="1138568" y="15563851"/>
          <a:ext cx="118732" cy="1021434"/>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6</xdr:col>
      <xdr:colOff>221514</xdr:colOff>
      <xdr:row>125</xdr:row>
      <xdr:rowOff>132907</xdr:rowOff>
    </xdr:from>
    <xdr:to>
      <xdr:col>6</xdr:col>
      <xdr:colOff>598084</xdr:colOff>
      <xdr:row>125</xdr:row>
      <xdr:rowOff>132907</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flipH="1">
          <a:off x="4422039" y="13277407"/>
          <a:ext cx="37657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533400</xdr:colOff>
      <xdr:row>132</xdr:row>
      <xdr:rowOff>66675</xdr:rowOff>
    </xdr:from>
    <xdr:to>
      <xdr:col>1</xdr:col>
      <xdr:colOff>66675</xdr:colOff>
      <xdr:row>134</xdr:row>
      <xdr:rowOff>85725</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533400" y="14544675"/>
          <a:ext cx="142875" cy="400050"/>
        </a:xfrm>
        <a:prstGeom prst="straightConnector1">
          <a:avLst/>
        </a:prstGeom>
        <a:ln>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443023</xdr:colOff>
      <xdr:row>198</xdr:row>
      <xdr:rowOff>11076</xdr:rowOff>
    </xdr:from>
    <xdr:to>
      <xdr:col>13</xdr:col>
      <xdr:colOff>177209</xdr:colOff>
      <xdr:row>200</xdr:row>
      <xdr:rowOff>121831</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flipV="1">
          <a:off x="8901223" y="27033501"/>
          <a:ext cx="439036" cy="49175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631308</xdr:colOff>
      <xdr:row>197</xdr:row>
      <xdr:rowOff>166134</xdr:rowOff>
    </xdr:from>
    <xdr:to>
      <xdr:col>15</xdr:col>
      <xdr:colOff>398721</xdr:colOff>
      <xdr:row>200</xdr:row>
      <xdr:rowOff>110756</xdr:rowOff>
    </xdr:to>
    <xdr:cxnSp macro="">
      <xdr:nvCxnSpPr>
        <xdr:cNvPr id="33" name="Straight Connector 32">
          <a:extLst>
            <a:ext uri="{FF2B5EF4-FFF2-40B4-BE49-F238E27FC236}">
              <a16:creationId xmlns:a16="http://schemas.microsoft.com/office/drawing/2014/main" id="{00000000-0008-0000-0600-000021000000}"/>
            </a:ext>
          </a:extLst>
        </xdr:cNvPr>
        <xdr:cNvCxnSpPr/>
      </xdr:nvCxnSpPr>
      <xdr:spPr>
        <a:xfrm flipH="1" flipV="1">
          <a:off x="10508733" y="26998059"/>
          <a:ext cx="481788" cy="516122"/>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368938</xdr:colOff>
      <xdr:row>236</xdr:row>
      <xdr:rowOff>129437</xdr:rowOff>
    </xdr:from>
    <xdr:to>
      <xdr:col>17</xdr:col>
      <xdr:colOff>368938</xdr:colOff>
      <xdr:row>237</xdr:row>
      <xdr:rowOff>150603</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12456163" y="34390862"/>
          <a:ext cx="0" cy="211666"/>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363673</xdr:colOff>
      <xdr:row>236</xdr:row>
      <xdr:rowOff>29757</xdr:rowOff>
    </xdr:from>
    <xdr:to>
      <xdr:col>17</xdr:col>
      <xdr:colOff>363673</xdr:colOff>
      <xdr:row>237</xdr:row>
      <xdr:rowOff>8590</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flipV="1">
          <a:off x="12450898" y="34291182"/>
          <a:ext cx="0" cy="169333"/>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365494</xdr:colOff>
      <xdr:row>266</xdr:row>
      <xdr:rowOff>66454</xdr:rowOff>
    </xdr:from>
    <xdr:to>
      <xdr:col>14</xdr:col>
      <xdr:colOff>609156</xdr:colOff>
      <xdr:row>267</xdr:row>
      <xdr:rowOff>166134</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10242919" y="40042879"/>
          <a:ext cx="243662" cy="29018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243663</xdr:colOff>
      <xdr:row>266</xdr:row>
      <xdr:rowOff>55378</xdr:rowOff>
    </xdr:from>
    <xdr:to>
      <xdr:col>16</xdr:col>
      <xdr:colOff>409797</xdr:colOff>
      <xdr:row>267</xdr:row>
      <xdr:rowOff>170777</xdr:rowOff>
    </xdr:to>
    <xdr:cxnSp macro="">
      <xdr:nvCxnSpPr>
        <xdr:cNvPr id="37" name="Straight Connector 36">
          <a:extLst>
            <a:ext uri="{FF2B5EF4-FFF2-40B4-BE49-F238E27FC236}">
              <a16:creationId xmlns:a16="http://schemas.microsoft.com/office/drawing/2014/main" id="{00000000-0008-0000-0600-000025000000}"/>
            </a:ext>
          </a:extLst>
        </xdr:cNvPr>
        <xdr:cNvCxnSpPr/>
      </xdr:nvCxnSpPr>
      <xdr:spPr>
        <a:xfrm flipH="1">
          <a:off x="11549838" y="40031803"/>
          <a:ext cx="166134" cy="305899"/>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55377</xdr:colOff>
      <xdr:row>185</xdr:row>
      <xdr:rowOff>4</xdr:rowOff>
    </xdr:from>
    <xdr:to>
      <xdr:col>14</xdr:col>
      <xdr:colOff>664534</xdr:colOff>
      <xdr:row>185</xdr:row>
      <xdr:rowOff>4</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a:off x="8513577" y="24574504"/>
          <a:ext cx="202838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354418</xdr:colOff>
      <xdr:row>236</xdr:row>
      <xdr:rowOff>44302</xdr:rowOff>
    </xdr:from>
    <xdr:to>
      <xdr:col>11</xdr:col>
      <xdr:colOff>354418</xdr:colOff>
      <xdr:row>237</xdr:row>
      <xdr:rowOff>11075</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V="1">
          <a:off x="8140552" y="33913430"/>
          <a:ext cx="0" cy="155058"/>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11</xdr:col>
      <xdr:colOff>354418</xdr:colOff>
      <xdr:row>266</xdr:row>
      <xdr:rowOff>44302</xdr:rowOff>
    </xdr:from>
    <xdr:to>
      <xdr:col>11</xdr:col>
      <xdr:colOff>354418</xdr:colOff>
      <xdr:row>267</xdr:row>
      <xdr:rowOff>11075</xdr:rowOff>
    </xdr:to>
    <xdr:cxnSp macro="">
      <xdr:nvCxnSpPr>
        <xdr:cNvPr id="39" name="Straight Arrow Connector 38">
          <a:extLst>
            <a:ext uri="{FF2B5EF4-FFF2-40B4-BE49-F238E27FC236}">
              <a16:creationId xmlns:a16="http://schemas.microsoft.com/office/drawing/2014/main" id="{00000000-0008-0000-0600-000027000000}"/>
            </a:ext>
          </a:extLst>
        </xdr:cNvPr>
        <xdr:cNvCxnSpPr/>
      </xdr:nvCxnSpPr>
      <xdr:spPr>
        <a:xfrm flipV="1">
          <a:off x="8140552" y="33913430"/>
          <a:ext cx="0" cy="155058"/>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10</xdr:col>
      <xdr:colOff>354418</xdr:colOff>
      <xdr:row>194</xdr:row>
      <xdr:rowOff>44302</xdr:rowOff>
    </xdr:from>
    <xdr:to>
      <xdr:col>10</xdr:col>
      <xdr:colOff>354418</xdr:colOff>
      <xdr:row>195</xdr:row>
      <xdr:rowOff>11075</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flipV="1">
          <a:off x="8140552" y="33913430"/>
          <a:ext cx="0" cy="155058"/>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5</xdr:col>
      <xdr:colOff>354418</xdr:colOff>
      <xdr:row>215</xdr:row>
      <xdr:rowOff>44302</xdr:rowOff>
    </xdr:from>
    <xdr:to>
      <xdr:col>5</xdr:col>
      <xdr:colOff>354418</xdr:colOff>
      <xdr:row>216</xdr:row>
      <xdr:rowOff>11075</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flipV="1">
          <a:off x="7420639" y="26027616"/>
          <a:ext cx="0" cy="155058"/>
        </a:xfrm>
        <a:prstGeom prst="straightConnector1">
          <a:avLst/>
        </a:prstGeom>
        <a:ln>
          <a:tailEnd type="arrow"/>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13</xdr:col>
      <xdr:colOff>233694</xdr:colOff>
      <xdr:row>103</xdr:row>
      <xdr:rowOff>112527</xdr:rowOff>
    </xdr:from>
    <xdr:to>
      <xdr:col>19</xdr:col>
      <xdr:colOff>17942</xdr:colOff>
      <xdr:row>117</xdr:row>
      <xdr:rowOff>36859</xdr:rowOff>
    </xdr:to>
    <xdr:graphicFrame macro="">
      <xdr:nvGraphicFramePr>
        <xdr:cNvPr id="30" name="Chart 29">
          <a:extLst>
            <a:ext uri="{FF2B5EF4-FFF2-40B4-BE49-F238E27FC236}">
              <a16:creationId xmlns:a16="http://schemas.microsoft.com/office/drawing/2014/main" id="{00000000-0008-0000-06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351761</xdr:colOff>
      <xdr:row>180</xdr:row>
      <xdr:rowOff>19495</xdr:rowOff>
    </xdr:from>
    <xdr:to>
      <xdr:col>3</xdr:col>
      <xdr:colOff>351761</xdr:colOff>
      <xdr:row>180</xdr:row>
      <xdr:rowOff>184087</xdr:rowOff>
    </xdr:to>
    <xdr:cxnSp macro="">
      <xdr:nvCxnSpPr>
        <xdr:cNvPr id="44" name="Straight Arrow Connector 43">
          <a:extLst>
            <a:ext uri="{FF2B5EF4-FFF2-40B4-BE49-F238E27FC236}">
              <a16:creationId xmlns:a16="http://schemas.microsoft.com/office/drawing/2014/main" id="{00000000-0008-0000-0600-00002C000000}"/>
            </a:ext>
          </a:extLst>
        </xdr:cNvPr>
        <xdr:cNvCxnSpPr/>
      </xdr:nvCxnSpPr>
      <xdr:spPr>
        <a:xfrm>
          <a:off x="2428211" y="23641495"/>
          <a:ext cx="0" cy="164592"/>
        </a:xfrm>
        <a:prstGeom prst="straightConnector1">
          <a:avLst/>
        </a:prstGeom>
        <a:ln w="19050">
          <a:solidFill>
            <a:srgbClr val="FF0000"/>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357187</xdr:colOff>
      <xdr:row>51</xdr:row>
      <xdr:rowOff>83343</xdr:rowOff>
    </xdr:from>
    <xdr:to>
      <xdr:col>2</xdr:col>
      <xdr:colOff>357187</xdr:colOff>
      <xdr:row>53</xdr:row>
      <xdr:rowOff>142874</xdr:rowOff>
    </xdr:to>
    <xdr:cxnSp macro="">
      <xdr:nvCxnSpPr>
        <xdr:cNvPr id="43" name="Straight Arrow Connector 42">
          <a:extLst>
            <a:ext uri="{FF2B5EF4-FFF2-40B4-BE49-F238E27FC236}">
              <a16:creationId xmlns:a16="http://schemas.microsoft.com/office/drawing/2014/main" id="{00000000-0008-0000-0600-00002B000000}"/>
            </a:ext>
          </a:extLst>
        </xdr:cNvPr>
        <xdr:cNvCxnSpPr/>
      </xdr:nvCxnSpPr>
      <xdr:spPr>
        <a:xfrm>
          <a:off x="1728787" y="9798843"/>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354806</xdr:colOff>
      <xdr:row>51</xdr:row>
      <xdr:rowOff>80962</xdr:rowOff>
    </xdr:from>
    <xdr:to>
      <xdr:col>5</xdr:col>
      <xdr:colOff>354806</xdr:colOff>
      <xdr:row>53</xdr:row>
      <xdr:rowOff>140493</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3850481" y="9796462"/>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304799</xdr:colOff>
      <xdr:row>52</xdr:row>
      <xdr:rowOff>83344</xdr:rowOff>
    </xdr:from>
    <xdr:to>
      <xdr:col>3</xdr:col>
      <xdr:colOff>304799</xdr:colOff>
      <xdr:row>53</xdr:row>
      <xdr:rowOff>138112</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a:off x="2381249" y="9989344"/>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297656</xdr:colOff>
      <xdr:row>52</xdr:row>
      <xdr:rowOff>95249</xdr:rowOff>
    </xdr:from>
    <xdr:to>
      <xdr:col>6</xdr:col>
      <xdr:colOff>297656</xdr:colOff>
      <xdr:row>53</xdr:row>
      <xdr:rowOff>150017</xdr:rowOff>
    </xdr:to>
    <xdr:cxnSp macro="">
      <xdr:nvCxnSpPr>
        <xdr:cNvPr id="47" name="Straight Arrow Connector 46">
          <a:extLst>
            <a:ext uri="{FF2B5EF4-FFF2-40B4-BE49-F238E27FC236}">
              <a16:creationId xmlns:a16="http://schemas.microsoft.com/office/drawing/2014/main" id="{00000000-0008-0000-0600-00002F000000}"/>
            </a:ext>
          </a:extLst>
        </xdr:cNvPr>
        <xdr:cNvCxnSpPr/>
      </xdr:nvCxnSpPr>
      <xdr:spPr>
        <a:xfrm>
          <a:off x="4498181" y="10001249"/>
          <a:ext cx="0" cy="245268"/>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345281</xdr:colOff>
      <xdr:row>53</xdr:row>
      <xdr:rowOff>23813</xdr:rowOff>
    </xdr:from>
    <xdr:to>
      <xdr:col>4</xdr:col>
      <xdr:colOff>345281</xdr:colOff>
      <xdr:row>53</xdr:row>
      <xdr:rowOff>150018</xdr:rowOff>
    </xdr:to>
    <xdr:cxnSp macro="">
      <xdr:nvCxnSpPr>
        <xdr:cNvPr id="48" name="Straight Arrow Connector 47">
          <a:extLst>
            <a:ext uri="{FF2B5EF4-FFF2-40B4-BE49-F238E27FC236}">
              <a16:creationId xmlns:a16="http://schemas.microsoft.com/office/drawing/2014/main" id="{00000000-0008-0000-0600-000030000000}"/>
            </a:ext>
          </a:extLst>
        </xdr:cNvPr>
        <xdr:cNvCxnSpPr/>
      </xdr:nvCxnSpPr>
      <xdr:spPr>
        <a:xfrm>
          <a:off x="3126581"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333374</xdr:colOff>
      <xdr:row>53</xdr:row>
      <xdr:rowOff>23813</xdr:rowOff>
    </xdr:from>
    <xdr:to>
      <xdr:col>7</xdr:col>
      <xdr:colOff>333374</xdr:colOff>
      <xdr:row>53</xdr:row>
      <xdr:rowOff>150018</xdr:rowOff>
    </xdr:to>
    <xdr:cxnSp macro="">
      <xdr:nvCxnSpPr>
        <xdr:cNvPr id="49" name="Straight Arrow Connector 48">
          <a:extLst>
            <a:ext uri="{FF2B5EF4-FFF2-40B4-BE49-F238E27FC236}">
              <a16:creationId xmlns:a16="http://schemas.microsoft.com/office/drawing/2014/main" id="{00000000-0008-0000-0600-000031000000}"/>
            </a:ext>
          </a:extLst>
        </xdr:cNvPr>
        <xdr:cNvCxnSpPr/>
      </xdr:nvCxnSpPr>
      <xdr:spPr>
        <a:xfrm>
          <a:off x="5248274" y="10120313"/>
          <a:ext cx="0" cy="126205"/>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459580</xdr:colOff>
      <xdr:row>51</xdr:row>
      <xdr:rowOff>78581</xdr:rowOff>
    </xdr:from>
    <xdr:to>
      <xdr:col>8</xdr:col>
      <xdr:colOff>459580</xdr:colOff>
      <xdr:row>53</xdr:row>
      <xdr:rowOff>138112</xdr:rowOff>
    </xdr:to>
    <xdr:cxnSp macro="">
      <xdr:nvCxnSpPr>
        <xdr:cNvPr id="50" name="Straight Arrow Connector 49">
          <a:extLst>
            <a:ext uri="{FF2B5EF4-FFF2-40B4-BE49-F238E27FC236}">
              <a16:creationId xmlns:a16="http://schemas.microsoft.com/office/drawing/2014/main" id="{00000000-0008-0000-0600-000032000000}"/>
            </a:ext>
          </a:extLst>
        </xdr:cNvPr>
        <xdr:cNvCxnSpPr/>
      </xdr:nvCxnSpPr>
      <xdr:spPr>
        <a:xfrm>
          <a:off x="6079330" y="9794081"/>
          <a:ext cx="0" cy="440531"/>
        </a:xfrm>
        <a:prstGeom prst="straightConnector1">
          <a:avLst/>
        </a:prstGeom>
        <a:ln>
          <a:solidFill>
            <a:schemeClr val="tx1">
              <a:lumMod val="50000"/>
              <a:lumOff val="50000"/>
            </a:schemeClr>
          </a:solidFill>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6">
    <tabColor theme="8" tint="0.79998168889431442"/>
    <pageSetUpPr fitToPage="1"/>
  </sheetPr>
  <dimension ref="A1:AG340"/>
  <sheetViews>
    <sheetView showGridLines="0" zoomScale="86" zoomScaleNormal="86"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1" max="21" width="8.42578125" customWidth="1"/>
    <col min="22" max="22" width="10.28515625" customWidth="1"/>
    <col min="23" max="23" width="7.140625" customWidth="1"/>
    <col min="24" max="24" width="10.85546875" customWidth="1"/>
    <col min="25" max="25" width="14.85546875" customWidth="1"/>
    <col min="26" max="26" width="9.140625" customWidth="1"/>
    <col min="27" max="27" width="11.5703125" customWidth="1"/>
    <col min="28" max="28" width="17.28515625" customWidth="1"/>
    <col min="29" max="29" width="17.140625" customWidth="1"/>
    <col min="30" max="30" width="17" customWidth="1"/>
    <col min="31" max="31" width="13.7109375" customWidth="1"/>
    <col min="32" max="32" width="17" customWidth="1"/>
    <col min="33" max="33" width="25.42578125" customWidth="1"/>
    <col min="34" max="38" width="9.140625" customWidth="1"/>
  </cols>
  <sheetData>
    <row r="1" spans="1:33" ht="20.100000000000001" customHeight="1" x14ac:dyDescent="0.2">
      <c r="K1" t="s">
        <v>26</v>
      </c>
      <c r="P1" s="28" t="s">
        <v>362</v>
      </c>
    </row>
    <row r="2" spans="1:33" ht="20.100000000000001" customHeight="1" x14ac:dyDescent="0.2">
      <c r="A2" s="343" t="s">
        <v>306</v>
      </c>
      <c r="B2" s="331" t="s">
        <v>185</v>
      </c>
      <c r="C2" s="332"/>
      <c r="D2" s="332"/>
      <c r="E2" s="332"/>
      <c r="F2" s="332"/>
      <c r="U2" s="351" t="s">
        <v>258</v>
      </c>
      <c r="V2" s="351" t="s">
        <v>241</v>
      </c>
      <c r="W2" s="352" t="s">
        <v>237</v>
      </c>
      <c r="X2" s="352" t="s">
        <v>238</v>
      </c>
      <c r="Y2" s="352" t="s">
        <v>239</v>
      </c>
      <c r="Z2" s="352" t="s">
        <v>240</v>
      </c>
      <c r="AA2" s="351" t="s">
        <v>245</v>
      </c>
      <c r="AB2" s="352" t="s">
        <v>33</v>
      </c>
      <c r="AC2" s="352" t="s">
        <v>35</v>
      </c>
      <c r="AD2" s="351" t="s">
        <v>253</v>
      </c>
      <c r="AE2" s="351" t="s">
        <v>254</v>
      </c>
      <c r="AF2" s="351" t="s">
        <v>271</v>
      </c>
      <c r="AG2" s="351" t="s">
        <v>40</v>
      </c>
    </row>
    <row r="3" spans="1:33" ht="20.100000000000001" customHeight="1" x14ac:dyDescent="0.2">
      <c r="A3" s="332"/>
      <c r="B3" s="348" t="s">
        <v>292</v>
      </c>
      <c r="C3" s="332"/>
      <c r="D3" s="332"/>
      <c r="E3" s="332"/>
      <c r="F3" s="332"/>
      <c r="T3" t="s">
        <v>265</v>
      </c>
      <c r="U3" s="353" t="s">
        <v>259</v>
      </c>
      <c r="V3" s="353" t="s">
        <v>34</v>
      </c>
      <c r="W3" s="353" t="s">
        <v>234</v>
      </c>
      <c r="X3" s="353" t="s">
        <v>236</v>
      </c>
      <c r="Y3" s="353" t="s">
        <v>165</v>
      </c>
      <c r="Z3" s="353" t="s">
        <v>146</v>
      </c>
      <c r="AA3" s="353" t="s">
        <v>222</v>
      </c>
      <c r="AB3" s="353" t="s">
        <v>246</v>
      </c>
      <c r="AC3" s="354" t="s">
        <v>262</v>
      </c>
      <c r="AD3" s="354" t="s">
        <v>247</v>
      </c>
      <c r="AE3" s="354" t="s">
        <v>256</v>
      </c>
      <c r="AF3" s="354" t="s">
        <v>248</v>
      </c>
      <c r="AG3" s="354" t="s">
        <v>257</v>
      </c>
    </row>
    <row r="4" spans="1:33" ht="20.100000000000001" customHeight="1" x14ac:dyDescent="0.2">
      <c r="A4" s="332"/>
      <c r="B4" s="348" t="s">
        <v>314</v>
      </c>
      <c r="C4" s="332"/>
      <c r="D4" s="332"/>
      <c r="E4" s="332"/>
      <c r="F4" s="332"/>
      <c r="G4" s="332"/>
      <c r="U4" s="353"/>
      <c r="V4" s="353"/>
      <c r="W4" s="353"/>
      <c r="X4" s="353"/>
      <c r="Y4" s="353"/>
      <c r="Z4" s="353"/>
      <c r="AA4" s="353"/>
      <c r="AB4" s="353"/>
      <c r="AC4" s="354"/>
      <c r="AD4" s="354"/>
      <c r="AE4" s="354"/>
      <c r="AF4" s="354"/>
      <c r="AG4" s="354"/>
    </row>
    <row r="5" spans="1:33" ht="20.100000000000001" customHeight="1" x14ac:dyDescent="0.2">
      <c r="A5" s="332"/>
      <c r="B5" s="333" t="s">
        <v>186</v>
      </c>
      <c r="C5" s="332"/>
      <c r="D5" s="332"/>
      <c r="E5" s="332"/>
      <c r="F5" s="332"/>
      <c r="G5" s="332"/>
      <c r="T5" t="s">
        <v>265</v>
      </c>
      <c r="U5" s="353" t="s">
        <v>259</v>
      </c>
      <c r="V5" s="353" t="s">
        <v>249</v>
      </c>
      <c r="W5" s="353" t="s">
        <v>232</v>
      </c>
      <c r="X5" s="353" t="s">
        <v>236</v>
      </c>
      <c r="Y5" s="353" t="s">
        <v>165</v>
      </c>
      <c r="Z5" s="353" t="s">
        <v>146</v>
      </c>
      <c r="AA5" s="353" t="s">
        <v>222</v>
      </c>
      <c r="AB5" s="354" t="s">
        <v>252</v>
      </c>
      <c r="AC5" s="354" t="s">
        <v>262</v>
      </c>
      <c r="AD5" s="354" t="s">
        <v>250</v>
      </c>
      <c r="AE5" s="354" t="s">
        <v>256</v>
      </c>
      <c r="AF5" s="354" t="s">
        <v>251</v>
      </c>
      <c r="AG5" s="354" t="s">
        <v>272</v>
      </c>
    </row>
    <row r="6" spans="1:33" ht="20.100000000000001" customHeight="1" x14ac:dyDescent="0.2">
      <c r="A6" s="332"/>
      <c r="B6" s="333" t="s">
        <v>196</v>
      </c>
      <c r="C6" s="332"/>
      <c r="D6" s="332"/>
      <c r="E6" s="332"/>
      <c r="F6" s="332"/>
      <c r="T6" t="s">
        <v>265</v>
      </c>
      <c r="U6" s="355" t="s">
        <v>259</v>
      </c>
      <c r="V6" s="355" t="s">
        <v>249</v>
      </c>
      <c r="W6" s="355" t="s">
        <v>220</v>
      </c>
      <c r="X6" s="355" t="s">
        <v>236</v>
      </c>
      <c r="Y6" s="355" t="s">
        <v>165</v>
      </c>
      <c r="Z6" s="355" t="s">
        <v>146</v>
      </c>
      <c r="AA6" s="355" t="s">
        <v>222</v>
      </c>
      <c r="AB6" s="356" t="s">
        <v>252</v>
      </c>
      <c r="AC6" s="354" t="s">
        <v>262</v>
      </c>
      <c r="AD6" s="356" t="s">
        <v>255</v>
      </c>
      <c r="AE6" s="356" t="s">
        <v>254</v>
      </c>
      <c r="AF6" s="356" t="s">
        <v>251</v>
      </c>
      <c r="AG6" s="354" t="s">
        <v>257</v>
      </c>
    </row>
    <row r="7" spans="1:33" ht="20.100000000000001" customHeight="1" x14ac:dyDescent="0.2">
      <c r="P7" s="210" t="s">
        <v>106</v>
      </c>
      <c r="Q7" s="210" t="s">
        <v>107</v>
      </c>
      <c r="T7" t="s">
        <v>265</v>
      </c>
      <c r="U7" s="356" t="s">
        <v>273</v>
      </c>
      <c r="V7" s="355" t="s">
        <v>249</v>
      </c>
      <c r="W7" s="356" t="s">
        <v>235</v>
      </c>
      <c r="X7" s="355" t="s">
        <v>201</v>
      </c>
      <c r="Y7" s="355" t="s">
        <v>165</v>
      </c>
      <c r="Z7" s="355" t="s">
        <v>146</v>
      </c>
      <c r="AA7" s="355" t="s">
        <v>260</v>
      </c>
      <c r="AB7" s="356" t="s">
        <v>252</v>
      </c>
      <c r="AC7" s="354" t="s">
        <v>263</v>
      </c>
      <c r="AD7" s="356" t="s">
        <v>255</v>
      </c>
      <c r="AE7" s="356" t="s">
        <v>254</v>
      </c>
      <c r="AF7" s="356" t="s">
        <v>251</v>
      </c>
      <c r="AG7" s="354" t="s">
        <v>257</v>
      </c>
    </row>
    <row r="8" spans="1:33" ht="20.100000000000001" customHeight="1" x14ac:dyDescent="0.2">
      <c r="B8" s="6" t="s">
        <v>4</v>
      </c>
      <c r="C8" s="7"/>
      <c r="D8" s="7"/>
      <c r="E8" s="7"/>
      <c r="F8" s="7"/>
      <c r="G8" s="7"/>
      <c r="H8" s="7"/>
      <c r="I8" s="501" t="s">
        <v>370</v>
      </c>
      <c r="J8" s="7"/>
      <c r="K8" s="7"/>
      <c r="L8" s="8"/>
      <c r="O8" s="212" t="s">
        <v>108</v>
      </c>
      <c r="P8">
        <v>77</v>
      </c>
      <c r="Q8">
        <v>73</v>
      </c>
      <c r="T8" t="s">
        <v>265</v>
      </c>
      <c r="U8" s="361"/>
      <c r="V8" s="362" t="s">
        <v>275</v>
      </c>
      <c r="W8" s="363"/>
      <c r="X8" s="363"/>
      <c r="Y8" s="363"/>
      <c r="Z8" s="363"/>
      <c r="AA8" s="363"/>
      <c r="AB8" s="363"/>
      <c r="AC8" s="363"/>
      <c r="AD8" s="363"/>
      <c r="AE8" s="364"/>
      <c r="AF8" s="363"/>
      <c r="AG8" s="365"/>
    </row>
    <row r="9" spans="1:33" ht="20.100000000000001" customHeight="1" x14ac:dyDescent="0.2">
      <c r="B9" s="208" t="s">
        <v>166</v>
      </c>
      <c r="C9" s="158"/>
      <c r="D9" s="158"/>
      <c r="E9" s="158"/>
      <c r="F9" s="158"/>
      <c r="G9" s="158"/>
      <c r="H9" s="158"/>
      <c r="I9" s="158"/>
      <c r="J9" s="158"/>
      <c r="K9" s="158"/>
      <c r="L9" s="158"/>
      <c r="O9" s="212" t="s">
        <v>110</v>
      </c>
      <c r="P9" s="213">
        <v>73</v>
      </c>
      <c r="Q9" s="213">
        <v>69</v>
      </c>
      <c r="T9" t="s">
        <v>265</v>
      </c>
      <c r="U9" s="360"/>
      <c r="V9" s="362" t="s">
        <v>274</v>
      </c>
      <c r="W9" s="363"/>
      <c r="X9" s="363"/>
      <c r="Y9" s="363"/>
      <c r="Z9" s="363"/>
      <c r="AA9" s="363"/>
      <c r="AB9" s="363"/>
      <c r="AC9" s="363"/>
      <c r="AD9" s="363"/>
      <c r="AE9" s="364"/>
      <c r="AF9" s="363"/>
      <c r="AG9" s="365"/>
    </row>
    <row r="10" spans="1:33" ht="20.100000000000001" customHeight="1" x14ac:dyDescent="0.2">
      <c r="B10" s="320" t="s">
        <v>165</v>
      </c>
      <c r="C10" s="158"/>
      <c r="D10" s="158"/>
      <c r="E10" s="158"/>
      <c r="F10" s="158"/>
      <c r="G10" s="158"/>
      <c r="H10" s="158"/>
      <c r="I10" s="158"/>
      <c r="J10" s="158"/>
      <c r="K10" s="158"/>
      <c r="L10" s="158"/>
      <c r="O10" s="211" t="s">
        <v>109</v>
      </c>
      <c r="P10">
        <f>P8-P9</f>
        <v>4</v>
      </c>
      <c r="Q10">
        <f>Q8-Q9</f>
        <v>4</v>
      </c>
      <c r="U10" s="360"/>
      <c r="V10" s="363"/>
      <c r="W10" s="363"/>
      <c r="X10" s="363"/>
      <c r="Y10" s="363"/>
      <c r="Z10" s="363"/>
      <c r="AA10" s="363"/>
      <c r="AB10" s="363"/>
      <c r="AC10" s="363"/>
      <c r="AD10" s="363"/>
      <c r="AE10" s="363"/>
      <c r="AF10" s="363"/>
      <c r="AG10" s="365"/>
    </row>
    <row r="11" spans="1:33" ht="20.100000000000001" customHeight="1" x14ac:dyDescent="0.2">
      <c r="B11" s="182" t="s">
        <v>134</v>
      </c>
      <c r="C11" s="158"/>
      <c r="D11" s="158"/>
      <c r="E11" s="158"/>
      <c r="F11" s="158"/>
      <c r="G11" s="158"/>
      <c r="H11" s="158"/>
      <c r="I11" s="158"/>
      <c r="J11" s="158"/>
      <c r="K11" s="158"/>
      <c r="L11" s="158"/>
      <c r="U11" s="353" t="s">
        <v>282</v>
      </c>
      <c r="V11" s="355" t="s">
        <v>249</v>
      </c>
      <c r="W11" s="356" t="s">
        <v>270</v>
      </c>
      <c r="X11" s="355" t="s">
        <v>201</v>
      </c>
      <c r="Y11" s="355" t="s">
        <v>165</v>
      </c>
      <c r="Z11" s="355" t="s">
        <v>146</v>
      </c>
      <c r="AA11" s="355" t="s">
        <v>260</v>
      </c>
      <c r="AB11" s="356" t="s">
        <v>252</v>
      </c>
      <c r="AC11" s="354" t="s">
        <v>263</v>
      </c>
      <c r="AD11" s="356" t="s">
        <v>255</v>
      </c>
      <c r="AE11" s="356" t="s">
        <v>254</v>
      </c>
      <c r="AF11" s="354" t="s">
        <v>330</v>
      </c>
      <c r="AG11" s="354" t="s">
        <v>257</v>
      </c>
    </row>
    <row r="12" spans="1:33" ht="20.100000000000001" customHeight="1" x14ac:dyDescent="0.2">
      <c r="A12" s="41"/>
      <c r="B12" s="182"/>
      <c r="C12" s="158"/>
      <c r="D12" s="158"/>
      <c r="E12" s="158"/>
      <c r="F12" s="158"/>
      <c r="G12" s="158"/>
      <c r="H12" s="158"/>
      <c r="I12" s="158"/>
      <c r="J12" s="158"/>
      <c r="K12" s="158"/>
      <c r="L12" s="158"/>
      <c r="M12" s="41"/>
      <c r="U12" s="354" t="s">
        <v>303</v>
      </c>
      <c r="V12" s="355" t="s">
        <v>249</v>
      </c>
      <c r="W12" s="356" t="s">
        <v>277</v>
      </c>
      <c r="X12" s="355" t="s">
        <v>201</v>
      </c>
      <c r="Y12" s="355" t="s">
        <v>199</v>
      </c>
      <c r="Z12" s="355" t="s">
        <v>266</v>
      </c>
      <c r="AA12" s="355" t="s">
        <v>260</v>
      </c>
      <c r="AB12" s="356" t="s">
        <v>252</v>
      </c>
      <c r="AC12" s="354" t="s">
        <v>263</v>
      </c>
      <c r="AD12" s="356" t="s">
        <v>267</v>
      </c>
      <c r="AE12" s="356" t="s">
        <v>254</v>
      </c>
      <c r="AF12" s="354" t="s">
        <v>330</v>
      </c>
      <c r="AG12" s="354" t="s">
        <v>268</v>
      </c>
    </row>
    <row r="13" spans="1:33" ht="20.100000000000001" customHeight="1" x14ac:dyDescent="0.2">
      <c r="A13" s="41"/>
      <c r="B13" s="208" t="s">
        <v>124</v>
      </c>
      <c r="C13" s="208" t="s">
        <v>234</v>
      </c>
      <c r="D13" s="347" t="s">
        <v>231</v>
      </c>
      <c r="E13" s="158" t="s">
        <v>276</v>
      </c>
      <c r="F13" s="158"/>
      <c r="G13" s="158"/>
      <c r="H13" s="158"/>
      <c r="I13" s="158"/>
      <c r="J13" s="158"/>
      <c r="K13" s="158"/>
      <c r="L13" s="158"/>
      <c r="M13" s="41"/>
      <c r="U13" s="353" t="s">
        <v>259</v>
      </c>
      <c r="V13" s="355" t="s">
        <v>249</v>
      </c>
      <c r="W13" s="356" t="s">
        <v>327</v>
      </c>
      <c r="X13" s="356" t="s">
        <v>236</v>
      </c>
      <c r="Y13" s="355" t="s">
        <v>165</v>
      </c>
      <c r="Z13" s="355" t="s">
        <v>146</v>
      </c>
      <c r="AA13" s="355" t="s">
        <v>222</v>
      </c>
      <c r="AB13" s="356" t="s">
        <v>252</v>
      </c>
      <c r="AC13" s="354" t="s">
        <v>262</v>
      </c>
      <c r="AD13" s="356" t="s">
        <v>255</v>
      </c>
      <c r="AE13" s="356" t="s">
        <v>254</v>
      </c>
      <c r="AF13" s="354" t="s">
        <v>330</v>
      </c>
      <c r="AG13" s="354" t="s">
        <v>257</v>
      </c>
    </row>
    <row r="14" spans="1:33" ht="20.100000000000001" customHeight="1" x14ac:dyDescent="0.25">
      <c r="A14" s="41"/>
      <c r="B14" s="358" t="s">
        <v>281</v>
      </c>
      <c r="C14" s="40"/>
      <c r="D14" s="40"/>
      <c r="E14" s="40"/>
      <c r="F14" s="40"/>
      <c r="G14" s="40"/>
      <c r="H14" s="40"/>
      <c r="I14" s="40"/>
      <c r="J14" s="40"/>
      <c r="K14" s="40"/>
      <c r="L14" s="40"/>
      <c r="M14" s="41"/>
      <c r="U14" s="354" t="s">
        <v>329</v>
      </c>
      <c r="V14" s="355" t="s">
        <v>249</v>
      </c>
      <c r="W14" s="356" t="s">
        <v>328</v>
      </c>
      <c r="X14" s="356" t="s">
        <v>236</v>
      </c>
      <c r="Y14" s="355" t="s">
        <v>199</v>
      </c>
      <c r="Z14" s="355" t="s">
        <v>266</v>
      </c>
      <c r="AA14" s="355" t="s">
        <v>222</v>
      </c>
      <c r="AB14" s="356" t="s">
        <v>252</v>
      </c>
      <c r="AC14" s="354" t="s">
        <v>262</v>
      </c>
      <c r="AD14" s="356" t="s">
        <v>267</v>
      </c>
      <c r="AE14" s="356" t="s">
        <v>254</v>
      </c>
      <c r="AF14" s="354" t="s">
        <v>330</v>
      </c>
      <c r="AG14" s="354" t="s">
        <v>268</v>
      </c>
    </row>
    <row r="15" spans="1:33" ht="15" customHeight="1" x14ac:dyDescent="0.2">
      <c r="A15" s="41"/>
      <c r="C15" s="40"/>
      <c r="D15" s="40"/>
      <c r="E15" s="40"/>
      <c r="F15" s="40"/>
      <c r="G15" s="40"/>
      <c r="H15" s="40"/>
      <c r="I15" s="40"/>
      <c r="J15" s="40"/>
      <c r="K15" s="40"/>
      <c r="L15" s="40"/>
      <c r="M15" s="41"/>
      <c r="U15" s="354" t="s">
        <v>355</v>
      </c>
      <c r="V15" s="355" t="s">
        <v>249</v>
      </c>
      <c r="W15" s="356" t="s">
        <v>356</v>
      </c>
      <c r="X15" s="356" t="s">
        <v>201</v>
      </c>
      <c r="Y15" s="355" t="s">
        <v>357</v>
      </c>
      <c r="Z15" s="355" t="s">
        <v>358</v>
      </c>
      <c r="AA15" s="355" t="s">
        <v>260</v>
      </c>
      <c r="AB15" s="356" t="s">
        <v>252</v>
      </c>
      <c r="AC15" s="354" t="s">
        <v>263</v>
      </c>
      <c r="AD15" s="356" t="s">
        <v>359</v>
      </c>
      <c r="AE15" s="356" t="s">
        <v>254</v>
      </c>
      <c r="AF15" s="354" t="s">
        <v>361</v>
      </c>
      <c r="AG15" s="354" t="s">
        <v>360</v>
      </c>
    </row>
    <row r="16" spans="1:33" ht="15" customHeight="1" x14ac:dyDescent="0.25">
      <c r="A16" s="41"/>
      <c r="B16" s="358" t="s">
        <v>278</v>
      </c>
      <c r="C16" s="40"/>
      <c r="D16" s="40"/>
      <c r="E16" s="40"/>
      <c r="F16" s="40"/>
      <c r="G16" s="40"/>
      <c r="H16" s="40"/>
      <c r="I16" s="40"/>
      <c r="J16" s="40"/>
      <c r="K16" s="40"/>
      <c r="L16" s="40"/>
      <c r="M16" s="41"/>
      <c r="AD16" s="1"/>
    </row>
    <row r="17" spans="1:30" ht="15" customHeight="1" x14ac:dyDescent="0.2">
      <c r="A17" s="41"/>
      <c r="C17" s="40"/>
      <c r="D17" s="40"/>
      <c r="E17" s="40"/>
      <c r="F17" s="40"/>
      <c r="G17" s="40"/>
      <c r="H17" s="40"/>
      <c r="I17" s="40"/>
      <c r="J17" s="40"/>
      <c r="K17" s="40"/>
      <c r="L17" s="40"/>
      <c r="M17" s="41"/>
      <c r="AD17" s="1"/>
    </row>
    <row r="18" spans="1:30" ht="15" customHeight="1" x14ac:dyDescent="0.25">
      <c r="A18" s="41"/>
      <c r="B18" s="358" t="s">
        <v>229</v>
      </c>
      <c r="C18" s="40"/>
      <c r="D18" s="40"/>
      <c r="E18" s="40"/>
      <c r="F18" s="40"/>
      <c r="G18" s="40"/>
      <c r="H18" s="40"/>
      <c r="I18" s="40"/>
      <c r="J18" s="40"/>
      <c r="K18" s="40"/>
      <c r="L18" s="40"/>
      <c r="M18" s="41"/>
      <c r="AD18" s="1"/>
    </row>
    <row r="19" spans="1:30" ht="15" customHeight="1" x14ac:dyDescent="0.2">
      <c r="A19" s="41"/>
      <c r="B19" s="336" t="s">
        <v>197</v>
      </c>
      <c r="C19" s="337"/>
      <c r="D19" s="9"/>
      <c r="E19" s="415">
        <v>1</v>
      </c>
      <c r="F19" s="337"/>
      <c r="G19" s="341"/>
      <c r="H19" s="40"/>
      <c r="I19" s="40"/>
      <c r="J19" s="40"/>
      <c r="K19" s="40"/>
      <c r="L19" s="40"/>
      <c r="M19" s="41"/>
      <c r="AD19" s="1"/>
    </row>
    <row r="20" spans="1:30" ht="15" customHeight="1" x14ac:dyDescent="0.2">
      <c r="A20" s="41"/>
      <c r="B20" s="338"/>
      <c r="C20" s="335" t="str">
        <f>L243</f>
        <v>C-ZETA CURVE</v>
      </c>
      <c r="D20" s="40" t="str">
        <f>M243</f>
        <v xml:space="preserve"> 110_61_31</v>
      </c>
      <c r="E20" s="40"/>
      <c r="F20" s="40"/>
      <c r="G20" s="339"/>
      <c r="H20" s="40"/>
      <c r="I20" s="40"/>
      <c r="J20" s="40"/>
      <c r="K20" s="40"/>
      <c r="L20" s="40"/>
      <c r="M20" s="41"/>
      <c r="U20" s="64" t="s">
        <v>203</v>
      </c>
      <c r="V20" t="s">
        <v>204</v>
      </c>
      <c r="AB20" s="1"/>
      <c r="AC20" s="1"/>
      <c r="AD20" s="1"/>
    </row>
    <row r="21" spans="1:30" ht="15" customHeight="1" x14ac:dyDescent="0.2">
      <c r="B21" s="340" t="s">
        <v>302</v>
      </c>
      <c r="C21" s="24"/>
      <c r="D21" s="24"/>
      <c r="E21" s="24"/>
      <c r="F21" s="24"/>
      <c r="G21" s="17"/>
      <c r="U21" s="38" t="s">
        <v>44</v>
      </c>
      <c r="V21" t="s">
        <v>205</v>
      </c>
      <c r="AB21" s="1"/>
      <c r="AC21" s="1"/>
    </row>
    <row r="22" spans="1:30" ht="15" customHeight="1" x14ac:dyDescent="0.2">
      <c r="A22" s="90" t="s">
        <v>44</v>
      </c>
      <c r="B22" s="64" t="s">
        <v>62</v>
      </c>
      <c r="U22" s="38" t="s">
        <v>45</v>
      </c>
      <c r="V22" s="28" t="s">
        <v>206</v>
      </c>
      <c r="AB22" s="1"/>
      <c r="AC22" s="1"/>
    </row>
    <row r="23" spans="1:30" ht="15" customHeight="1" x14ac:dyDescent="0.2">
      <c r="U23" s="38" t="s">
        <v>48</v>
      </c>
      <c r="V23" s="28" t="s">
        <v>213</v>
      </c>
      <c r="AB23" s="1"/>
      <c r="AC23" s="1"/>
    </row>
    <row r="24" spans="1:30" ht="15" customHeight="1" x14ac:dyDescent="0.2">
      <c r="B24" s="28" t="s">
        <v>63</v>
      </c>
      <c r="U24" s="38" t="s">
        <v>75</v>
      </c>
      <c r="V24" s="28" t="s">
        <v>214</v>
      </c>
      <c r="AB24" s="1"/>
      <c r="AC24" s="1"/>
    </row>
    <row r="25" spans="1:30" ht="15" customHeight="1" x14ac:dyDescent="0.2">
      <c r="B25" s="28" t="s">
        <v>127</v>
      </c>
      <c r="U25" s="38" t="s">
        <v>80</v>
      </c>
      <c r="V25" t="s">
        <v>207</v>
      </c>
      <c r="AC25" s="1"/>
    </row>
    <row r="26" spans="1:30" ht="15" customHeight="1" thickBot="1" x14ac:dyDescent="0.25">
      <c r="U26" s="38"/>
      <c r="V26" s="28" t="s">
        <v>224</v>
      </c>
    </row>
    <row r="27" spans="1:30" ht="15" customHeight="1" x14ac:dyDescent="0.2">
      <c r="B27" s="67"/>
      <c r="C27" s="68" t="s">
        <v>28</v>
      </c>
      <c r="D27" s="68" t="s">
        <v>28</v>
      </c>
      <c r="E27" s="129" t="s">
        <v>28</v>
      </c>
      <c r="U27" s="38"/>
      <c r="V27" t="s">
        <v>208</v>
      </c>
    </row>
    <row r="28" spans="1:30" ht="15" customHeight="1" x14ac:dyDescent="0.2">
      <c r="B28" s="67"/>
      <c r="C28" s="68" t="s">
        <v>260</v>
      </c>
      <c r="D28" s="68" t="s">
        <v>261</v>
      </c>
      <c r="E28" s="130" t="s">
        <v>31</v>
      </c>
      <c r="U28" s="38" t="s">
        <v>82</v>
      </c>
      <c r="V28" t="s">
        <v>209</v>
      </c>
    </row>
    <row r="29" spans="1:30" ht="15" customHeight="1" x14ac:dyDescent="0.2">
      <c r="B29" s="68" t="s">
        <v>21</v>
      </c>
      <c r="C29" s="68" t="s">
        <v>29</v>
      </c>
      <c r="D29" s="68" t="s">
        <v>30</v>
      </c>
      <c r="E29" s="130" t="s">
        <v>74</v>
      </c>
      <c r="U29" s="38" t="s">
        <v>85</v>
      </c>
      <c r="V29" t="s">
        <v>210</v>
      </c>
    </row>
    <row r="30" spans="1:30" ht="15" customHeight="1" x14ac:dyDescent="0.2">
      <c r="B30" s="68">
        <v>1</v>
      </c>
      <c r="C30" s="264">
        <v>2</v>
      </c>
      <c r="D30" s="264">
        <v>0.75</v>
      </c>
      <c r="E30" s="131">
        <f>SUM(C30:D30)/2</f>
        <v>1.375</v>
      </c>
      <c r="U30" s="38" t="s">
        <v>95</v>
      </c>
      <c r="V30" s="28" t="s">
        <v>211</v>
      </c>
    </row>
    <row r="31" spans="1:30" ht="15" customHeight="1" x14ac:dyDescent="0.2">
      <c r="B31" s="68">
        <v>2</v>
      </c>
      <c r="C31" s="264">
        <v>4</v>
      </c>
      <c r="D31" s="264">
        <v>2</v>
      </c>
      <c r="E31" s="131">
        <f t="shared" ref="E31:E39" si="0">SUM(C31:D31)/2</f>
        <v>3</v>
      </c>
      <c r="U31" s="38" t="s">
        <v>98</v>
      </c>
      <c r="V31" s="28" t="s">
        <v>212</v>
      </c>
    </row>
    <row r="32" spans="1:30" ht="15" customHeight="1" x14ac:dyDescent="0.2">
      <c r="B32" s="68">
        <v>3</v>
      </c>
      <c r="C32" s="264">
        <v>5.8</v>
      </c>
      <c r="D32" s="264">
        <v>3.3</v>
      </c>
      <c r="E32" s="131">
        <f t="shared" si="0"/>
        <v>4.55</v>
      </c>
      <c r="U32" s="38"/>
    </row>
    <row r="33" spans="1:22" ht="15" customHeight="1" x14ac:dyDescent="0.2">
      <c r="B33" s="68">
        <v>4</v>
      </c>
      <c r="C33" s="264">
        <v>7.51</v>
      </c>
      <c r="D33" s="264">
        <v>4.7</v>
      </c>
      <c r="E33" s="131">
        <f t="shared" si="0"/>
        <v>6.1050000000000004</v>
      </c>
      <c r="V33" s="343" t="s">
        <v>228</v>
      </c>
    </row>
    <row r="34" spans="1:22" ht="15" customHeight="1" x14ac:dyDescent="0.2">
      <c r="B34" s="68">
        <v>5</v>
      </c>
      <c r="C34" s="264">
        <v>9</v>
      </c>
      <c r="D34" s="264">
        <v>5.9</v>
      </c>
      <c r="E34" s="131">
        <f t="shared" si="0"/>
        <v>7.45</v>
      </c>
    </row>
    <row r="35" spans="1:22" ht="15" customHeight="1" x14ac:dyDescent="0.2">
      <c r="B35" s="68">
        <v>10</v>
      </c>
      <c r="C35" s="264">
        <v>11.51</v>
      </c>
      <c r="D35" s="264">
        <v>10</v>
      </c>
      <c r="E35" s="131">
        <f t="shared" si="0"/>
        <v>10.754999999999999</v>
      </c>
    </row>
    <row r="36" spans="1:22" ht="15" customHeight="1" x14ac:dyDescent="0.2">
      <c r="B36" s="68">
        <v>20</v>
      </c>
      <c r="C36" s="264">
        <v>13</v>
      </c>
      <c r="D36" s="264">
        <v>13</v>
      </c>
      <c r="E36" s="131">
        <f t="shared" si="0"/>
        <v>13</v>
      </c>
    </row>
    <row r="37" spans="1:22" ht="15" customHeight="1" x14ac:dyDescent="0.2">
      <c r="B37" s="68">
        <v>30</v>
      </c>
      <c r="C37" s="264">
        <v>13</v>
      </c>
      <c r="D37" s="264">
        <v>13</v>
      </c>
      <c r="E37" s="131">
        <f t="shared" si="0"/>
        <v>13</v>
      </c>
    </row>
    <row r="38" spans="1:22" ht="15" customHeight="1" x14ac:dyDescent="0.2">
      <c r="B38" s="68">
        <v>40</v>
      </c>
      <c r="C38" s="264">
        <v>13</v>
      </c>
      <c r="D38" s="264">
        <v>13</v>
      </c>
      <c r="E38" s="131">
        <f t="shared" si="0"/>
        <v>13</v>
      </c>
    </row>
    <row r="39" spans="1:22" ht="15" customHeight="1" thickBot="1" x14ac:dyDescent="0.25">
      <c r="B39" s="68">
        <v>50</v>
      </c>
      <c r="C39" s="264">
        <v>13</v>
      </c>
      <c r="D39" s="264">
        <v>13</v>
      </c>
      <c r="E39" s="132">
        <f t="shared" si="0"/>
        <v>13</v>
      </c>
    </row>
    <row r="40" spans="1:22" ht="15" customHeight="1" x14ac:dyDescent="0.2"/>
    <row r="41" spans="1:22" ht="15" customHeight="1" x14ac:dyDescent="0.2"/>
    <row r="42" spans="1:22" ht="15" customHeight="1" x14ac:dyDescent="0.2"/>
    <row r="43" spans="1:22" ht="15" customHeight="1" x14ac:dyDescent="0.2"/>
    <row r="44" spans="1:22" ht="15" customHeight="1" x14ac:dyDescent="0.2">
      <c r="A44" s="64" t="s">
        <v>45</v>
      </c>
      <c r="B44" s="64" t="s">
        <v>113</v>
      </c>
    </row>
    <row r="45" spans="1:22" ht="15" customHeight="1" x14ac:dyDescent="0.2">
      <c r="B45" s="90" t="s">
        <v>65</v>
      </c>
    </row>
    <row r="46" spans="1:22" ht="15" customHeight="1" x14ac:dyDescent="0.2">
      <c r="B46" s="90" t="s">
        <v>67</v>
      </c>
    </row>
    <row r="47" spans="1:22" ht="15" customHeight="1" x14ac:dyDescent="0.2">
      <c r="F47" s="283" t="s">
        <v>135</v>
      </c>
    </row>
    <row r="48" spans="1:22" ht="15" customHeight="1" x14ac:dyDescent="0.2">
      <c r="B48" s="117" t="s">
        <v>125</v>
      </c>
      <c r="C48" s="117"/>
      <c r="D48" s="117"/>
    </row>
    <row r="49" spans="2:4" ht="15" customHeight="1" x14ac:dyDescent="0.2">
      <c r="B49" s="117" t="s">
        <v>66</v>
      </c>
      <c r="C49" s="117"/>
      <c r="D49" s="117" t="s">
        <v>34</v>
      </c>
    </row>
    <row r="50" spans="2:4" ht="15" customHeight="1" x14ac:dyDescent="0.2">
      <c r="B50" s="117" t="s">
        <v>42</v>
      </c>
      <c r="C50" s="117"/>
      <c r="D50" s="117" t="s">
        <v>42</v>
      </c>
    </row>
    <row r="51" spans="2:4" ht="15" customHeight="1" x14ac:dyDescent="0.2">
      <c r="B51" s="117" t="s">
        <v>43</v>
      </c>
      <c r="C51" s="117" t="s">
        <v>21</v>
      </c>
      <c r="D51" s="117" t="s">
        <v>43</v>
      </c>
    </row>
    <row r="52" spans="2:4" ht="15" customHeight="1" x14ac:dyDescent="0.2">
      <c r="B52" s="247">
        <v>22.3</v>
      </c>
      <c r="C52" s="106">
        <v>1</v>
      </c>
      <c r="D52" s="109">
        <v>22.3</v>
      </c>
    </row>
    <row r="53" spans="2:4" ht="15" customHeight="1" x14ac:dyDescent="0.2">
      <c r="B53" s="248">
        <v>44.8</v>
      </c>
      <c r="C53" s="106">
        <v>2</v>
      </c>
      <c r="D53" s="110">
        <v>44.8</v>
      </c>
    </row>
    <row r="54" spans="2:4" ht="15" customHeight="1" x14ac:dyDescent="0.2">
      <c r="B54" s="43">
        <v>62</v>
      </c>
      <c r="C54" s="106">
        <v>3</v>
      </c>
      <c r="D54" s="105">
        <v>62</v>
      </c>
    </row>
    <row r="55" spans="2:4" ht="15" customHeight="1" x14ac:dyDescent="0.2">
      <c r="B55" s="43">
        <v>75.5</v>
      </c>
      <c r="C55" s="106">
        <v>4</v>
      </c>
      <c r="D55" s="105">
        <v>75.5</v>
      </c>
    </row>
    <row r="56" spans="2:4" ht="15" customHeight="1" x14ac:dyDescent="0.2">
      <c r="B56" s="248">
        <v>91.1</v>
      </c>
      <c r="C56" s="106">
        <v>5</v>
      </c>
      <c r="D56" s="110">
        <v>91.1</v>
      </c>
    </row>
    <row r="57" spans="2:4" ht="15" customHeight="1" x14ac:dyDescent="0.2">
      <c r="B57" s="43">
        <v>150.69999999999999</v>
      </c>
      <c r="C57" s="106">
        <v>10</v>
      </c>
      <c r="D57" s="105">
        <v>150.69999999999999</v>
      </c>
    </row>
    <row r="58" spans="2:4" ht="15" customHeight="1" x14ac:dyDescent="0.2">
      <c r="B58" s="43">
        <v>252.2</v>
      </c>
      <c r="C58" s="106">
        <v>20</v>
      </c>
      <c r="D58" s="105">
        <v>252.2</v>
      </c>
    </row>
    <row r="59" spans="2:4" ht="15" customHeight="1" x14ac:dyDescent="0.2">
      <c r="B59" s="43">
        <v>340.1</v>
      </c>
      <c r="C59" s="106">
        <v>30</v>
      </c>
      <c r="D59" s="105">
        <v>340.1</v>
      </c>
    </row>
    <row r="60" spans="2:4" ht="15" customHeight="1" x14ac:dyDescent="0.2">
      <c r="B60" s="43">
        <v>420.4</v>
      </c>
      <c r="C60" s="106">
        <v>40</v>
      </c>
      <c r="D60" s="105">
        <v>420.4</v>
      </c>
    </row>
    <row r="61" spans="2:4" ht="15" customHeight="1" x14ac:dyDescent="0.2">
      <c r="B61" s="248">
        <v>498</v>
      </c>
      <c r="C61" s="106">
        <v>50</v>
      </c>
      <c r="D61" s="110">
        <v>498</v>
      </c>
    </row>
    <row r="62" spans="2:4" ht="15" customHeight="1" x14ac:dyDescent="0.2"/>
    <row r="63" spans="2:4" ht="15" customHeight="1" x14ac:dyDescent="0.2">
      <c r="C63" s="315" t="s">
        <v>126</v>
      </c>
    </row>
    <row r="64" spans="2:4" ht="15" customHeight="1" x14ac:dyDescent="0.2"/>
    <row r="65" spans="1:11" ht="15" customHeight="1" x14ac:dyDescent="0.2"/>
    <row r="66" spans="1:11" ht="15" customHeight="1" x14ac:dyDescent="0.2">
      <c r="A66" s="64" t="s">
        <v>48</v>
      </c>
      <c r="B66" s="64" t="s">
        <v>68</v>
      </c>
    </row>
    <row r="67" spans="1:11" ht="15" customHeight="1" x14ac:dyDescent="0.2">
      <c r="B67" s="90" t="s">
        <v>70</v>
      </c>
    </row>
    <row r="68" spans="1:11" ht="15" customHeight="1" x14ac:dyDescent="0.2">
      <c r="B68" s="90" t="s">
        <v>71</v>
      </c>
    </row>
    <row r="69" spans="1:11" ht="15" customHeight="1" x14ac:dyDescent="0.2">
      <c r="B69" s="283" t="s">
        <v>135</v>
      </c>
    </row>
    <row r="70" spans="1:11" ht="15" customHeight="1" x14ac:dyDescent="0.2">
      <c r="E70" s="409">
        <f>INDEX(LINEST(D$78:D$83,($C$78:$C$83)^{1,2,3}),1)</f>
        <v>0.11347208299458225</v>
      </c>
      <c r="F70" s="408">
        <f>INDEX(LINEST(D$83:D$87,($C$83:$C$87)^{1,2,3}),1)</f>
        <v>9.0833333333334172E-4</v>
      </c>
      <c r="H70" t="s">
        <v>300</v>
      </c>
    </row>
    <row r="71" spans="1:11" ht="15" customHeight="1" x14ac:dyDescent="0.2">
      <c r="E71" s="409">
        <f>INDEX(LINEST(D$78:D$83,($C$78:$C$83)^{1,2,3}),2)</f>
        <v>-2.3474575936727899</v>
      </c>
      <c r="F71" s="408">
        <f>INDEX(LINEST(D$83:D$87,($C$83:$C$87)^{1,2,3}),2)</f>
        <v>-0.12132142857142943</v>
      </c>
      <c r="H71" t="s">
        <v>301</v>
      </c>
    </row>
    <row r="72" spans="1:11" ht="15" customHeight="1" x14ac:dyDescent="0.2">
      <c r="E72" s="409">
        <f>INDEX(LINEST(D$78:D$83,($C$78:$C$83)^{1,2,3}),3)</f>
        <v>27.449303883727591</v>
      </c>
      <c r="F72" s="408">
        <f>INDEX(LINEST(D$83:D$87,($C$83:$C$87)^{1,2,3}),3)</f>
        <v>13.145952380952403</v>
      </c>
    </row>
    <row r="73" spans="1:11" ht="15" customHeight="1" x14ac:dyDescent="0.2">
      <c r="E73" s="409">
        <f>INDEX(LINEST(D$78:D$83,($C$78:$C$83)^{1,2,3}),4)</f>
        <v>-2.4966619570451272</v>
      </c>
      <c r="F73" s="408">
        <f>INDEX(LINEST(D$83:D$87,($C$83:$C$87)^{1,2,3}),4)</f>
        <v>30.479999999999897</v>
      </c>
    </row>
    <row r="74" spans="1:11" ht="15" customHeight="1" x14ac:dyDescent="0.2">
      <c r="E74" s="1"/>
      <c r="F74" s="1"/>
    </row>
    <row r="75" spans="1:11" ht="15" customHeight="1" x14ac:dyDescent="0.2">
      <c r="C75" s="116"/>
      <c r="D75" s="117" t="s">
        <v>69</v>
      </c>
      <c r="E75" s="117"/>
      <c r="F75" s="1"/>
      <c r="H75" s="133"/>
      <c r="I75" s="391" t="s">
        <v>56</v>
      </c>
      <c r="J75" s="133"/>
      <c r="K75" s="133"/>
    </row>
    <row r="76" spans="1:11" ht="15" customHeight="1" x14ac:dyDescent="0.2">
      <c r="C76" s="116"/>
      <c r="D76" s="117" t="s">
        <v>42</v>
      </c>
      <c r="E76" s="117"/>
      <c r="F76" s="1"/>
      <c r="H76" s="133"/>
      <c r="I76" s="392" t="s">
        <v>33</v>
      </c>
      <c r="J76" s="133" t="s">
        <v>34</v>
      </c>
      <c r="K76" s="413" t="s">
        <v>298</v>
      </c>
    </row>
    <row r="77" spans="1:11" ht="15" customHeight="1" x14ac:dyDescent="0.2">
      <c r="C77" s="116" t="s">
        <v>21</v>
      </c>
      <c r="D77" s="117" t="s">
        <v>43</v>
      </c>
      <c r="E77" s="117"/>
      <c r="F77" s="1"/>
      <c r="H77" s="133" t="s">
        <v>21</v>
      </c>
      <c r="I77" s="392" t="s">
        <v>72</v>
      </c>
      <c r="J77" s="133" t="s">
        <v>264</v>
      </c>
      <c r="K77" s="414" t="s">
        <v>299</v>
      </c>
    </row>
    <row r="78" spans="1:11" ht="15" customHeight="1" x14ac:dyDescent="0.2">
      <c r="C78" s="106">
        <v>1</v>
      </c>
      <c r="D78" s="109">
        <f>D52</f>
        <v>22.3</v>
      </c>
      <c r="E78" s="114">
        <f>(E$70*($C78)^3)+(E$71*($C78)^2)+(E$72*($C78)^1)+(E$73)</f>
        <v>22.718656416004258</v>
      </c>
      <c r="F78" s="2"/>
      <c r="H78" s="106">
        <v>1</v>
      </c>
      <c r="I78" s="393">
        <f>E78</f>
        <v>22.718656416004258</v>
      </c>
      <c r="J78" s="109">
        <f>B52</f>
        <v>22.3</v>
      </c>
      <c r="K78" s="410">
        <f>I78-J78</f>
        <v>0.41865641600425718</v>
      </c>
    </row>
    <row r="79" spans="1:11" ht="15" customHeight="1" x14ac:dyDescent="0.2">
      <c r="C79" s="106">
        <v>2</v>
      </c>
      <c r="D79" s="110">
        <f t="shared" ref="D79:D87" si="1">D53</f>
        <v>44.8</v>
      </c>
      <c r="E79" s="114">
        <f t="shared" ref="E79:E83" si="2">(E$70*($C79)^3)+(E$71*($C79)^2)+(E$72*($C79)^1)+(E$73)</f>
        <v>43.919892099675558</v>
      </c>
      <c r="F79" s="2"/>
      <c r="H79" s="106">
        <v>2</v>
      </c>
      <c r="I79" s="393">
        <f>E79</f>
        <v>43.919892099675558</v>
      </c>
      <c r="J79" s="110">
        <f t="shared" ref="J79:J87" si="3">B53</f>
        <v>44.8</v>
      </c>
      <c r="K79" s="411">
        <f t="shared" ref="K79:K87" si="4">I79-J79</f>
        <v>-0.88010790032443964</v>
      </c>
    </row>
    <row r="80" spans="1:11" ht="15" customHeight="1" x14ac:dyDescent="0.2">
      <c r="B80" t="s">
        <v>296</v>
      </c>
      <c r="C80" s="106">
        <v>3</v>
      </c>
      <c r="D80" s="105">
        <f t="shared" si="1"/>
        <v>62</v>
      </c>
      <c r="E80" s="114">
        <f t="shared" si="2"/>
        <v>61.787877591936258</v>
      </c>
      <c r="F80" s="2"/>
      <c r="H80" s="106">
        <v>3</v>
      </c>
      <c r="I80" s="393">
        <f>E80</f>
        <v>61.787877591936258</v>
      </c>
      <c r="J80" s="105">
        <f t="shared" si="3"/>
        <v>62</v>
      </c>
      <c r="K80" s="412">
        <f t="shared" si="4"/>
        <v>-0.21212240806374183</v>
      </c>
    </row>
    <row r="81" spans="1:11" ht="15" customHeight="1" x14ac:dyDescent="0.2">
      <c r="C81" s="106">
        <v>4</v>
      </c>
      <c r="D81" s="105">
        <f t="shared" si="1"/>
        <v>75.5</v>
      </c>
      <c r="E81" s="114">
        <f t="shared" si="2"/>
        <v>77.003445390753853</v>
      </c>
      <c r="F81" s="2"/>
      <c r="H81" s="106">
        <v>4</v>
      </c>
      <c r="I81" s="393">
        <f>E81</f>
        <v>77.003445390753853</v>
      </c>
      <c r="J81" s="105">
        <f t="shared" si="3"/>
        <v>75.5</v>
      </c>
      <c r="K81" s="412">
        <f t="shared" si="4"/>
        <v>1.5034453907538534</v>
      </c>
    </row>
    <row r="82" spans="1:11" ht="15" customHeight="1" x14ac:dyDescent="0.2">
      <c r="C82" s="106">
        <v>5</v>
      </c>
      <c r="D82" s="110">
        <f t="shared" si="1"/>
        <v>91.1</v>
      </c>
      <c r="E82" s="114">
        <f t="shared" si="2"/>
        <v>90.247427994095858</v>
      </c>
      <c r="F82" s="2"/>
      <c r="H82" s="106">
        <v>5</v>
      </c>
      <c r="I82" s="393">
        <f>E82</f>
        <v>90.247427994095858</v>
      </c>
      <c r="J82" s="110">
        <f t="shared" si="3"/>
        <v>91.1</v>
      </c>
      <c r="K82" s="411">
        <f t="shared" si="4"/>
        <v>-0.85257200590413618</v>
      </c>
    </row>
    <row r="83" spans="1:11" ht="15" customHeight="1" x14ac:dyDescent="0.2">
      <c r="C83" s="106">
        <v>10</v>
      </c>
      <c r="D83" s="105">
        <f t="shared" si="1"/>
        <v>150.69999999999999</v>
      </c>
      <c r="E83" s="114">
        <f t="shared" si="2"/>
        <v>150.72270050753403</v>
      </c>
      <c r="F83" s="115">
        <f>(F$70*($C83)^3)+(F$71*($C83)^2)+(F$72*($C83)^1)+(F$73)</f>
        <v>150.71571428571431</v>
      </c>
      <c r="H83" s="106">
        <v>10</v>
      </c>
      <c r="I83" s="393">
        <f>(E83+F83)/2</f>
        <v>150.71920739662417</v>
      </c>
      <c r="J83" s="105">
        <f t="shared" si="3"/>
        <v>150.69999999999999</v>
      </c>
      <c r="K83" s="412">
        <f t="shared" si="4"/>
        <v>1.9207396624182138E-2</v>
      </c>
    </row>
    <row r="84" spans="1:11" ht="15" customHeight="1" x14ac:dyDescent="0.2">
      <c r="C84" s="106">
        <v>20</v>
      </c>
      <c r="D84" s="105">
        <f t="shared" si="1"/>
        <v>252.2</v>
      </c>
      <c r="E84" s="2"/>
      <c r="F84" s="115">
        <f t="shared" ref="F84:F87" si="5">(F$70*($C84)^3)+(F$71*($C84)^2)+(F$72*($C84)^1)+(F$73)</f>
        <v>252.13714285714292</v>
      </c>
      <c r="H84" s="106">
        <v>20</v>
      </c>
      <c r="I84" s="393">
        <f>F84</f>
        <v>252.13714285714292</v>
      </c>
      <c r="J84" s="105">
        <f t="shared" si="3"/>
        <v>252.2</v>
      </c>
      <c r="K84" s="412">
        <f t="shared" si="4"/>
        <v>-6.2857142857069448E-2</v>
      </c>
    </row>
    <row r="85" spans="1:11" ht="15" customHeight="1" x14ac:dyDescent="0.2">
      <c r="B85" s="28" t="s">
        <v>297</v>
      </c>
      <c r="C85" s="106">
        <v>30</v>
      </c>
      <c r="D85" s="105">
        <f t="shared" si="1"/>
        <v>340.1</v>
      </c>
      <c r="E85" s="2"/>
      <c r="F85" s="115">
        <f t="shared" si="5"/>
        <v>340.1942857142858</v>
      </c>
      <c r="H85" s="106">
        <v>30</v>
      </c>
      <c r="I85" s="393">
        <f>F85</f>
        <v>340.1942857142858</v>
      </c>
      <c r="J85" s="105">
        <f t="shared" si="3"/>
        <v>340.1</v>
      </c>
      <c r="K85" s="412">
        <f t="shared" si="4"/>
        <v>9.4285714285774702E-2</v>
      </c>
    </row>
    <row r="86" spans="1:11" ht="15" customHeight="1" x14ac:dyDescent="0.2">
      <c r="C86" s="106">
        <v>40</v>
      </c>
      <c r="D86" s="105">
        <f t="shared" si="1"/>
        <v>420.4</v>
      </c>
      <c r="E86" s="2"/>
      <c r="F86" s="115">
        <f t="shared" si="5"/>
        <v>420.33714285714279</v>
      </c>
      <c r="H86" s="106">
        <v>40</v>
      </c>
      <c r="I86" s="393">
        <f>F86</f>
        <v>420.33714285714279</v>
      </c>
      <c r="J86" s="105">
        <f t="shared" si="3"/>
        <v>420.4</v>
      </c>
      <c r="K86" s="412">
        <f t="shared" si="4"/>
        <v>-6.2857142857183135E-2</v>
      </c>
    </row>
    <row r="87" spans="1:11" ht="15" customHeight="1" x14ac:dyDescent="0.2">
      <c r="C87" s="106">
        <v>50</v>
      </c>
      <c r="D87" s="110">
        <f t="shared" si="1"/>
        <v>498</v>
      </c>
      <c r="E87" s="2"/>
      <c r="F87" s="115">
        <f t="shared" si="5"/>
        <v>498.01571428571424</v>
      </c>
      <c r="H87" s="106">
        <v>50</v>
      </c>
      <c r="I87" s="394">
        <f>F87</f>
        <v>498.01571428571424</v>
      </c>
      <c r="J87" s="110">
        <f t="shared" si="3"/>
        <v>498</v>
      </c>
      <c r="K87" s="411">
        <f t="shared" si="4"/>
        <v>1.571428571423894E-2</v>
      </c>
    </row>
    <row r="88" spans="1:11" ht="15" customHeight="1" x14ac:dyDescent="0.2">
      <c r="I88" s="38"/>
    </row>
    <row r="89" spans="1:11" ht="15" customHeight="1" x14ac:dyDescent="0.2"/>
    <row r="90" spans="1:11" ht="15" customHeight="1" x14ac:dyDescent="0.2"/>
    <row r="91" spans="1:11" ht="15" customHeight="1" x14ac:dyDescent="0.2">
      <c r="I91" s="38"/>
    </row>
    <row r="92" spans="1:11" ht="15" customHeight="1" x14ac:dyDescent="0.2">
      <c r="A92" s="64" t="s">
        <v>75</v>
      </c>
      <c r="B92" s="64" t="s">
        <v>73</v>
      </c>
    </row>
    <row r="93" spans="1:11" ht="15" customHeight="1" x14ac:dyDescent="0.2">
      <c r="A93" s="64"/>
      <c r="B93" s="64"/>
    </row>
    <row r="94" spans="1:11" ht="15" customHeight="1" x14ac:dyDescent="0.2">
      <c r="A94" s="64"/>
      <c r="B94" s="64" t="s">
        <v>76</v>
      </c>
    </row>
    <row r="95" spans="1:11" ht="15" customHeight="1" x14ac:dyDescent="0.2">
      <c r="A95" s="64"/>
      <c r="B95" s="64"/>
      <c r="K95" s="90" t="s">
        <v>78</v>
      </c>
    </row>
    <row r="96" spans="1:11" ht="15" customHeight="1" x14ac:dyDescent="0.2">
      <c r="E96" s="283" t="s">
        <v>135</v>
      </c>
      <c r="I96" s="38"/>
    </row>
    <row r="97" spans="2:18" ht="15" customHeight="1" thickBot="1" x14ac:dyDescent="0.25">
      <c r="H97" s="283" t="s">
        <v>144</v>
      </c>
      <c r="I97" s="38"/>
      <c r="M97" t="s">
        <v>94</v>
      </c>
    </row>
    <row r="98" spans="2:18" ht="15" customHeight="1" x14ac:dyDescent="0.2">
      <c r="B98" s="116"/>
      <c r="C98" s="111"/>
      <c r="D98" s="111"/>
      <c r="E98" s="111"/>
      <c r="F98" s="284" t="s">
        <v>34</v>
      </c>
      <c r="G98" s="134" t="s">
        <v>56</v>
      </c>
      <c r="H98" s="112" t="s">
        <v>222</v>
      </c>
      <c r="J98" s="129" t="s">
        <v>28</v>
      </c>
      <c r="K98" s="147"/>
      <c r="M98" s="141"/>
      <c r="N98" s="139" t="s">
        <v>79</v>
      </c>
    </row>
    <row r="99" spans="2:18" ht="15" customHeight="1" x14ac:dyDescent="0.2">
      <c r="B99" s="116"/>
      <c r="C99" s="108"/>
      <c r="D99" s="108"/>
      <c r="E99" s="108" t="s">
        <v>32</v>
      </c>
      <c r="F99" s="285" t="s">
        <v>33</v>
      </c>
      <c r="G99" s="135" t="s">
        <v>35</v>
      </c>
      <c r="H99" s="112" t="s">
        <v>28</v>
      </c>
      <c r="J99" s="342" t="s">
        <v>31</v>
      </c>
      <c r="K99" s="148" t="s">
        <v>77</v>
      </c>
      <c r="M99" s="142" t="s">
        <v>52</v>
      </c>
      <c r="N99" s="140" t="s">
        <v>42</v>
      </c>
    </row>
    <row r="100" spans="2:18" ht="15" customHeight="1" thickBot="1" x14ac:dyDescent="0.25">
      <c r="B100" s="116" t="s">
        <v>21</v>
      </c>
      <c r="C100" s="111"/>
      <c r="D100" s="111"/>
      <c r="E100" s="111"/>
      <c r="F100" s="286" t="s">
        <v>72</v>
      </c>
      <c r="G100" s="136" t="s">
        <v>72</v>
      </c>
      <c r="H100" s="112"/>
      <c r="J100" s="344" t="s">
        <v>74</v>
      </c>
      <c r="K100" s="149" t="s">
        <v>55</v>
      </c>
      <c r="M100" s="142" t="s">
        <v>36</v>
      </c>
      <c r="N100" s="140"/>
      <c r="O100" s="265" t="s">
        <v>128</v>
      </c>
      <c r="P100" s="38" t="s">
        <v>136</v>
      </c>
      <c r="Q100" s="214" t="s">
        <v>137</v>
      </c>
    </row>
    <row r="101" spans="2:18" ht="15" customHeight="1" x14ac:dyDescent="0.2">
      <c r="B101" s="106">
        <v>1</v>
      </c>
      <c r="C101" s="119"/>
      <c r="D101" s="119"/>
      <c r="E101" s="119">
        <f>F101+G101</f>
        <v>22.61</v>
      </c>
      <c r="F101" s="119">
        <f>D52</f>
        <v>22.3</v>
      </c>
      <c r="G101" s="118">
        <v>0.31</v>
      </c>
      <c r="H101" s="152">
        <f>G101/E101</f>
        <v>1.3710747456877488E-2</v>
      </c>
      <c r="J101" s="137">
        <f t="shared" ref="J101:J110" si="6">E30/100</f>
        <v>1.375E-2</v>
      </c>
      <c r="K101" s="150">
        <f t="shared" ref="K101:K110" si="7">J101-H101</f>
        <v>3.9252543122512279E-5</v>
      </c>
      <c r="M101" s="137">
        <f>E101/F101</f>
        <v>1.0139013452914798</v>
      </c>
      <c r="N101" s="143">
        <f t="shared" ref="N101:N110" si="8">F101*M101</f>
        <v>22.61</v>
      </c>
      <c r="O101" s="287">
        <f>N101-E101</f>
        <v>0</v>
      </c>
      <c r="P101" s="288">
        <f>J101/H101</f>
        <v>1.0028629032258065</v>
      </c>
      <c r="Q101" s="289">
        <f>P101*G101</f>
        <v>0.31088750000000004</v>
      </c>
      <c r="R101" s="267" t="s">
        <v>140</v>
      </c>
    </row>
    <row r="102" spans="2:18" ht="15" customHeight="1" x14ac:dyDescent="0.2">
      <c r="B102" s="106">
        <v>2</v>
      </c>
      <c r="C102" s="120"/>
      <c r="D102" s="120"/>
      <c r="E102" s="120">
        <f t="shared" ref="E102:E110" si="9">F102+G102</f>
        <v>46.186</v>
      </c>
      <c r="F102" s="120">
        <f t="shared" ref="F102:F110" si="10">D53</f>
        <v>44.8</v>
      </c>
      <c r="G102" s="118">
        <v>1.3859999999999999</v>
      </c>
      <c r="H102" s="153">
        <f t="shared" ref="H102:H110" si="11">G102/E102</f>
        <v>3.000909366474689E-2</v>
      </c>
      <c r="J102" s="137">
        <f t="shared" si="6"/>
        <v>0.03</v>
      </c>
      <c r="K102" s="150">
        <f>J102-H102</f>
        <v>-9.0936647468911613E-6</v>
      </c>
      <c r="M102" s="137">
        <f t="shared" ref="M102:M110" si="12">E102/F102</f>
        <v>1.0309375000000001</v>
      </c>
      <c r="N102" s="144">
        <f t="shared" si="8"/>
        <v>46.186</v>
      </c>
      <c r="O102" s="287">
        <f t="shared" ref="O102:O110" si="13">N102-E102</f>
        <v>0</v>
      </c>
      <c r="P102" s="288">
        <f t="shared" ref="P102:P110" si="14">J102/H102</f>
        <v>0.99969696969696975</v>
      </c>
      <c r="Q102" s="290">
        <f t="shared" ref="Q102:Q110" si="15">P102*G102</f>
        <v>1.38558</v>
      </c>
      <c r="R102" s="267" t="s">
        <v>141</v>
      </c>
    </row>
    <row r="103" spans="2:18" ht="15" customHeight="1" x14ac:dyDescent="0.2">
      <c r="B103" s="106">
        <v>3</v>
      </c>
      <c r="C103" s="121"/>
      <c r="D103" s="121"/>
      <c r="E103" s="121">
        <f t="shared" si="9"/>
        <v>64.956000000000003</v>
      </c>
      <c r="F103" s="121">
        <f t="shared" si="10"/>
        <v>62</v>
      </c>
      <c r="G103" s="118">
        <v>2.956</v>
      </c>
      <c r="H103" s="154">
        <f t="shared" si="11"/>
        <v>4.5507728308393371E-2</v>
      </c>
      <c r="J103" s="137">
        <f t="shared" si="6"/>
        <v>4.5499999999999999E-2</v>
      </c>
      <c r="K103" s="150">
        <f t="shared" si="7"/>
        <v>-7.7283083933718522E-6</v>
      </c>
      <c r="M103" s="137">
        <f t="shared" si="12"/>
        <v>1.0476774193548388</v>
      </c>
      <c r="N103" s="145">
        <f t="shared" si="8"/>
        <v>64.956000000000003</v>
      </c>
      <c r="O103" s="287">
        <f t="shared" si="13"/>
        <v>0</v>
      </c>
      <c r="P103" s="288">
        <f t="shared" si="14"/>
        <v>0.99983017591339651</v>
      </c>
      <c r="Q103" s="288">
        <f t="shared" si="15"/>
        <v>2.955498</v>
      </c>
      <c r="R103" s="267" t="s">
        <v>143</v>
      </c>
    </row>
    <row r="104" spans="2:18" ht="15" customHeight="1" x14ac:dyDescent="0.2">
      <c r="B104" s="106">
        <v>4</v>
      </c>
      <c r="C104" s="121"/>
      <c r="D104" s="121"/>
      <c r="E104" s="121">
        <f t="shared" si="9"/>
        <v>80.412000000000006</v>
      </c>
      <c r="F104" s="121">
        <f t="shared" si="10"/>
        <v>75.5</v>
      </c>
      <c r="G104" s="118">
        <v>4.9119999999999999</v>
      </c>
      <c r="H104" s="154">
        <f t="shared" si="11"/>
        <v>6.1085410137790376E-2</v>
      </c>
      <c r="J104" s="137">
        <f t="shared" si="6"/>
        <v>6.1050000000000007E-2</v>
      </c>
      <c r="K104" s="150">
        <f t="shared" si="7"/>
        <v>-3.5410137790369001E-5</v>
      </c>
      <c r="M104" s="137">
        <f t="shared" si="12"/>
        <v>1.0650596026490067</v>
      </c>
      <c r="N104" s="145">
        <f t="shared" si="8"/>
        <v>80.412000000000006</v>
      </c>
      <c r="O104" s="287">
        <f t="shared" si="13"/>
        <v>0</v>
      </c>
      <c r="P104" s="288">
        <f t="shared" si="14"/>
        <v>0.99942031758957672</v>
      </c>
      <c r="Q104" s="288">
        <f t="shared" si="15"/>
        <v>4.9091526000000005</v>
      </c>
      <c r="R104" s="88" t="s">
        <v>142</v>
      </c>
    </row>
    <row r="105" spans="2:18" ht="15" customHeight="1" x14ac:dyDescent="0.2">
      <c r="B105" s="106">
        <v>5</v>
      </c>
      <c r="C105" s="120"/>
      <c r="D105" s="120"/>
      <c r="E105" s="120">
        <f t="shared" si="9"/>
        <v>98.433999999999997</v>
      </c>
      <c r="F105" s="120">
        <f t="shared" si="10"/>
        <v>91.1</v>
      </c>
      <c r="G105" s="118">
        <v>7.3339999999999996</v>
      </c>
      <c r="H105" s="153">
        <f t="shared" si="11"/>
        <v>7.4506776113944365E-2</v>
      </c>
      <c r="J105" s="137">
        <f t="shared" si="6"/>
        <v>7.4499999999999997E-2</v>
      </c>
      <c r="K105" s="150">
        <f t="shared" si="7"/>
        <v>-6.7761139443678342E-6</v>
      </c>
      <c r="M105" s="137">
        <f t="shared" si="12"/>
        <v>1.0805049396267838</v>
      </c>
      <c r="N105" s="144">
        <f t="shared" si="8"/>
        <v>98.433999999999997</v>
      </c>
      <c r="O105" s="287">
        <f t="shared" si="13"/>
        <v>0</v>
      </c>
      <c r="P105" s="288">
        <f t="shared" si="14"/>
        <v>0.99990905372238892</v>
      </c>
      <c r="Q105" s="290">
        <f t="shared" si="15"/>
        <v>7.3333329999999997</v>
      </c>
    </row>
    <row r="106" spans="2:18" ht="15" customHeight="1" x14ac:dyDescent="0.2">
      <c r="B106" s="106">
        <v>10</v>
      </c>
      <c r="C106" s="121"/>
      <c r="D106" s="121"/>
      <c r="E106" s="121">
        <f t="shared" si="9"/>
        <v>168.86399999999998</v>
      </c>
      <c r="F106" s="121">
        <f t="shared" si="10"/>
        <v>150.69999999999999</v>
      </c>
      <c r="G106" s="118">
        <v>18.164000000000001</v>
      </c>
      <c r="H106" s="154">
        <f t="shared" si="11"/>
        <v>0.1075658518097404</v>
      </c>
      <c r="J106" s="137">
        <f t="shared" si="6"/>
        <v>0.10754999999999999</v>
      </c>
      <c r="K106" s="150">
        <f t="shared" si="7"/>
        <v>-1.5851809740410894E-5</v>
      </c>
      <c r="M106" s="137">
        <f t="shared" si="12"/>
        <v>1.1205308560053084</v>
      </c>
      <c r="N106" s="145">
        <f t="shared" si="8"/>
        <v>168.86399999999998</v>
      </c>
      <c r="O106" s="287">
        <f t="shared" si="13"/>
        <v>0</v>
      </c>
      <c r="P106" s="288">
        <f t="shared" si="14"/>
        <v>0.9998526315789471</v>
      </c>
      <c r="Q106" s="288">
        <f t="shared" si="15"/>
        <v>18.161323199999998</v>
      </c>
    </row>
    <row r="107" spans="2:18" ht="15" customHeight="1" x14ac:dyDescent="0.2">
      <c r="B107" s="106">
        <v>20</v>
      </c>
      <c r="C107" s="121"/>
      <c r="D107" s="121"/>
      <c r="E107" s="121">
        <f t="shared" si="9"/>
        <v>289.89299999999997</v>
      </c>
      <c r="F107" s="121">
        <f t="shared" si="10"/>
        <v>252.2</v>
      </c>
      <c r="G107" s="118">
        <v>37.692999999999998</v>
      </c>
      <c r="H107" s="154">
        <f t="shared" si="11"/>
        <v>0.13002383638100956</v>
      </c>
      <c r="J107" s="137">
        <f t="shared" si="6"/>
        <v>0.13</v>
      </c>
      <c r="K107" s="150">
        <f t="shared" si="7"/>
        <v>-2.383638100955654E-5</v>
      </c>
      <c r="M107" s="137">
        <f t="shared" si="12"/>
        <v>1.1494567803330689</v>
      </c>
      <c r="N107" s="145">
        <f t="shared" si="8"/>
        <v>289.89299999999997</v>
      </c>
      <c r="O107" s="287">
        <f t="shared" si="13"/>
        <v>0</v>
      </c>
      <c r="P107" s="288">
        <f t="shared" si="14"/>
        <v>0.99981667683654785</v>
      </c>
      <c r="Q107" s="288">
        <f t="shared" si="15"/>
        <v>37.686089999999993</v>
      </c>
    </row>
    <row r="108" spans="2:18" ht="15" customHeight="1" x14ac:dyDescent="0.2">
      <c r="B108" s="106">
        <v>30</v>
      </c>
      <c r="C108" s="121"/>
      <c r="D108" s="121"/>
      <c r="E108" s="121">
        <f>F108+G108</f>
        <v>390.93100000000004</v>
      </c>
      <c r="F108" s="121">
        <f t="shared" si="10"/>
        <v>340.1</v>
      </c>
      <c r="G108" s="118">
        <v>50.831000000000003</v>
      </c>
      <c r="H108" s="154">
        <f t="shared" si="11"/>
        <v>0.13002550322179618</v>
      </c>
      <c r="J108" s="137">
        <f t="shared" si="6"/>
        <v>0.13</v>
      </c>
      <c r="K108" s="150">
        <f t="shared" si="7"/>
        <v>-2.5503221796174813E-5</v>
      </c>
      <c r="M108" s="137">
        <f t="shared" si="12"/>
        <v>1.1494589826521611</v>
      </c>
      <c r="N108" s="145">
        <f t="shared" si="8"/>
        <v>390.93099999999998</v>
      </c>
      <c r="O108" s="287">
        <f t="shared" si="13"/>
        <v>0</v>
      </c>
      <c r="P108" s="288">
        <f t="shared" si="14"/>
        <v>0.99980385984930453</v>
      </c>
      <c r="Q108" s="288">
        <f t="shared" si="15"/>
        <v>50.82103</v>
      </c>
    </row>
    <row r="109" spans="2:18" ht="15" customHeight="1" x14ac:dyDescent="0.2">
      <c r="B109" s="106">
        <v>40</v>
      </c>
      <c r="C109" s="121"/>
      <c r="D109" s="121"/>
      <c r="E109" s="121">
        <f t="shared" si="9"/>
        <v>483.23099999999999</v>
      </c>
      <c r="F109" s="121">
        <f t="shared" si="10"/>
        <v>420.4</v>
      </c>
      <c r="G109" s="118">
        <v>62.831000000000003</v>
      </c>
      <c r="H109" s="154">
        <f t="shared" si="11"/>
        <v>0.13002270135814964</v>
      </c>
      <c r="J109" s="137">
        <f t="shared" si="6"/>
        <v>0.13</v>
      </c>
      <c r="K109" s="150">
        <f t="shared" si="7"/>
        <v>-2.270135814963492E-5</v>
      </c>
      <c r="M109" s="137">
        <f t="shared" si="12"/>
        <v>1.149455280685062</v>
      </c>
      <c r="N109" s="145">
        <f t="shared" si="8"/>
        <v>483.23100000000005</v>
      </c>
      <c r="O109" s="287">
        <f t="shared" si="13"/>
        <v>0</v>
      </c>
      <c r="P109" s="288">
        <f t="shared" si="14"/>
        <v>0.99982540465693681</v>
      </c>
      <c r="Q109" s="288">
        <f t="shared" si="15"/>
        <v>62.820030000000003</v>
      </c>
    </row>
    <row r="110" spans="2:18" ht="15" customHeight="1" thickBot="1" x14ac:dyDescent="0.25">
      <c r="B110" s="106">
        <v>50</v>
      </c>
      <c r="C110" s="120"/>
      <c r="D110" s="120"/>
      <c r="E110" s="120">
        <f t="shared" si="9"/>
        <v>572.42700000000002</v>
      </c>
      <c r="F110" s="120">
        <f t="shared" si="10"/>
        <v>498</v>
      </c>
      <c r="G110" s="118">
        <v>74.427000000000007</v>
      </c>
      <c r="H110" s="153">
        <f t="shared" si="11"/>
        <v>0.1300200724284494</v>
      </c>
      <c r="J110" s="138">
        <f t="shared" si="6"/>
        <v>0.13</v>
      </c>
      <c r="K110" s="151">
        <f t="shared" si="7"/>
        <v>-2.007242844939694E-5</v>
      </c>
      <c r="M110" s="138">
        <f t="shared" si="12"/>
        <v>1.1494518072289157</v>
      </c>
      <c r="N110" s="146">
        <f t="shared" si="8"/>
        <v>572.42700000000002</v>
      </c>
      <c r="O110" s="287">
        <f t="shared" si="13"/>
        <v>0</v>
      </c>
      <c r="P110" s="288">
        <f t="shared" si="14"/>
        <v>0.99984562054093273</v>
      </c>
      <c r="Q110" s="290">
        <f t="shared" si="15"/>
        <v>74.415510000000012</v>
      </c>
    </row>
    <row r="111" spans="2:18" ht="15" customHeight="1" x14ac:dyDescent="0.2">
      <c r="K111" s="38"/>
    </row>
    <row r="112" spans="2:18" ht="15" customHeight="1" x14ac:dyDescent="0.2">
      <c r="K112" s="38"/>
    </row>
    <row r="113" spans="1:18" ht="15" customHeight="1" x14ac:dyDescent="0.2">
      <c r="A113" s="90" t="s">
        <v>80</v>
      </c>
      <c r="B113" s="64" t="s">
        <v>81</v>
      </c>
      <c r="K113" s="38"/>
    </row>
    <row r="114" spans="1:18" ht="15" customHeight="1" x14ac:dyDescent="0.2">
      <c r="B114" s="283" t="s">
        <v>145</v>
      </c>
      <c r="H114" s="283" t="s">
        <v>144</v>
      </c>
      <c r="I114" s="38"/>
      <c r="L114" s="283" t="s">
        <v>147</v>
      </c>
    </row>
    <row r="115" spans="1:18" ht="15" customHeight="1" x14ac:dyDescent="0.2">
      <c r="B115" s="283"/>
      <c r="H115" s="283"/>
      <c r="I115" s="38"/>
      <c r="L115" s="283"/>
    </row>
    <row r="116" spans="1:18" ht="15" customHeight="1" x14ac:dyDescent="0.2">
      <c r="B116" s="283"/>
      <c r="H116" s="283"/>
      <c r="I116" s="38"/>
      <c r="L116" s="283"/>
    </row>
    <row r="117" spans="1:18" ht="15" customHeight="1" x14ac:dyDescent="0.2">
      <c r="B117" s="283"/>
      <c r="H117" s="283"/>
      <c r="I117" s="38"/>
      <c r="L117" s="283"/>
    </row>
    <row r="118" spans="1:18" ht="15" customHeight="1" x14ac:dyDescent="0.2">
      <c r="B118" s="283"/>
      <c r="H118" s="283"/>
      <c r="I118" s="38"/>
      <c r="L118" s="283"/>
    </row>
    <row r="119" spans="1:18" ht="15" customHeight="1" x14ac:dyDescent="0.2">
      <c r="B119" s="283"/>
      <c r="H119" s="283"/>
      <c r="I119" s="38"/>
      <c r="L119" s="283"/>
    </row>
    <row r="120" spans="1:18" ht="15" customHeight="1" x14ac:dyDescent="0.2">
      <c r="B120" s="283"/>
      <c r="H120" s="283"/>
      <c r="I120" s="38"/>
      <c r="L120" s="283"/>
    </row>
    <row r="121" spans="1:18" ht="15" customHeight="1" x14ac:dyDescent="0.2"/>
    <row r="122" spans="1:18" ht="15" customHeight="1" x14ac:dyDescent="0.2">
      <c r="I122" s="38"/>
      <c r="P122" s="308" t="s">
        <v>154</v>
      </c>
    </row>
    <row r="123" spans="1:18" ht="15" customHeight="1" x14ac:dyDescent="0.2">
      <c r="I123" s="38"/>
      <c r="M123" s="307" t="s">
        <v>152</v>
      </c>
    </row>
    <row r="124" spans="1:18" ht="15" customHeight="1" x14ac:dyDescent="0.2">
      <c r="D124" s="38" t="s">
        <v>111</v>
      </c>
      <c r="I124" s="38"/>
    </row>
    <row r="125" spans="1:18" ht="15" customHeight="1" x14ac:dyDescent="0.2">
      <c r="F125" s="38"/>
      <c r="G125" s="38"/>
      <c r="H125" s="38"/>
      <c r="I125" s="38"/>
      <c r="J125" s="38"/>
      <c r="K125" s="214"/>
      <c r="L125" s="214"/>
      <c r="O125" s="38"/>
      <c r="P125" s="38"/>
      <c r="Q125" s="38"/>
    </row>
    <row r="126" spans="1:18" ht="15" customHeight="1" x14ac:dyDescent="0.2">
      <c r="B126" s="116"/>
      <c r="C126" s="292" t="s">
        <v>56</v>
      </c>
      <c r="D126" s="91" t="s">
        <v>56</v>
      </c>
      <c r="E126" s="205" t="s">
        <v>56</v>
      </c>
      <c r="F126" s="199" t="s">
        <v>56</v>
      </c>
      <c r="G126" s="199" t="s">
        <v>56</v>
      </c>
      <c r="H126" s="207"/>
      <c r="I126" s="117" t="s">
        <v>34</v>
      </c>
      <c r="J126" s="291" t="s">
        <v>34</v>
      </c>
      <c r="K126" s="291" t="s">
        <v>34</v>
      </c>
      <c r="L126" s="291" t="s">
        <v>46</v>
      </c>
      <c r="O126" s="117" t="s">
        <v>34</v>
      </c>
      <c r="P126" s="117" t="s">
        <v>34</v>
      </c>
      <c r="Q126" s="183" t="s">
        <v>34</v>
      </c>
    </row>
    <row r="127" spans="1:18" ht="15" customHeight="1" x14ac:dyDescent="0.2">
      <c r="B127" s="116"/>
      <c r="C127" s="293" t="s">
        <v>40</v>
      </c>
      <c r="D127" s="84" t="s">
        <v>41</v>
      </c>
      <c r="E127" s="117" t="s">
        <v>32</v>
      </c>
      <c r="F127" s="104" t="s">
        <v>33</v>
      </c>
      <c r="G127" s="104" t="s">
        <v>35</v>
      </c>
      <c r="H127" s="133" t="s">
        <v>28</v>
      </c>
      <c r="I127" s="117" t="s">
        <v>37</v>
      </c>
      <c r="J127" s="291" t="s">
        <v>37</v>
      </c>
      <c r="K127" s="291" t="s">
        <v>38</v>
      </c>
      <c r="L127" s="291" t="s">
        <v>37</v>
      </c>
      <c r="O127" s="117" t="s">
        <v>37</v>
      </c>
      <c r="P127" s="117" t="s">
        <v>38</v>
      </c>
      <c r="Q127" s="84" t="s">
        <v>41</v>
      </c>
    </row>
    <row r="128" spans="1:18" ht="15" customHeight="1" x14ac:dyDescent="0.2">
      <c r="B128" s="116" t="s">
        <v>21</v>
      </c>
      <c r="C128" s="113" t="s">
        <v>54</v>
      </c>
      <c r="D128" s="113" t="s">
        <v>54</v>
      </c>
      <c r="E128" s="206" t="s">
        <v>54</v>
      </c>
      <c r="F128" s="252" t="s">
        <v>53</v>
      </c>
      <c r="G128" s="252" t="s">
        <v>53</v>
      </c>
      <c r="H128" s="253" t="s">
        <v>54</v>
      </c>
      <c r="I128" s="117" t="s">
        <v>43</v>
      </c>
      <c r="J128" s="291" t="s">
        <v>103</v>
      </c>
      <c r="K128" s="291" t="s">
        <v>43</v>
      </c>
      <c r="L128" s="291" t="s">
        <v>146</v>
      </c>
      <c r="O128" s="117" t="s">
        <v>43</v>
      </c>
      <c r="P128" s="117" t="s">
        <v>43</v>
      </c>
      <c r="Q128" s="117" t="s">
        <v>43</v>
      </c>
      <c r="R128" s="266" t="s">
        <v>129</v>
      </c>
    </row>
    <row r="129" spans="1:18" ht="15" customHeight="1" x14ac:dyDescent="0.2">
      <c r="B129" s="106">
        <v>1</v>
      </c>
      <c r="C129" s="119">
        <f>(D129-L129)</f>
        <v>42.41</v>
      </c>
      <c r="D129" s="119">
        <f>(F129+G129+J129+K129)</f>
        <v>115.41</v>
      </c>
      <c r="E129" s="119">
        <f>F129+G129</f>
        <v>22.61</v>
      </c>
      <c r="F129" s="119">
        <f t="shared" ref="F129:G138" si="16">F101</f>
        <v>22.3</v>
      </c>
      <c r="G129" s="175">
        <f t="shared" si="16"/>
        <v>0.31</v>
      </c>
      <c r="H129" s="155">
        <f>G129/E129</f>
        <v>1.3710747456877488E-2</v>
      </c>
      <c r="I129" s="241">
        <v>80.8</v>
      </c>
      <c r="J129" s="241">
        <v>80.8</v>
      </c>
      <c r="K129" s="241">
        <v>12</v>
      </c>
      <c r="L129" s="241">
        <v>73</v>
      </c>
      <c r="O129" s="241">
        <v>80.8</v>
      </c>
      <c r="P129" s="241">
        <v>12</v>
      </c>
      <c r="Q129" s="244">
        <v>115</v>
      </c>
      <c r="R129" s="184">
        <f t="shared" ref="R129:R138" si="17">Q129-D129</f>
        <v>-0.40999999999999659</v>
      </c>
    </row>
    <row r="130" spans="1:18" ht="15" customHeight="1" x14ac:dyDescent="0.2">
      <c r="B130" s="106">
        <v>2</v>
      </c>
      <c r="C130" s="120">
        <f t="shared" ref="C130:C138" si="18">(D130-L130)</f>
        <v>64.986000000000018</v>
      </c>
      <c r="D130" s="120">
        <f t="shared" ref="D130:D138" si="19">(F130+G130+J130+K130)</f>
        <v>137.98600000000002</v>
      </c>
      <c r="E130" s="120">
        <f t="shared" ref="E130:E135" si="20">F130+G130</f>
        <v>46.186</v>
      </c>
      <c r="F130" s="120">
        <f t="shared" si="16"/>
        <v>44.8</v>
      </c>
      <c r="G130" s="176">
        <f t="shared" si="16"/>
        <v>1.3859999999999999</v>
      </c>
      <c r="H130" s="156">
        <f t="shared" ref="H130:H138" si="21">G130/E130</f>
        <v>3.000909366474689E-2</v>
      </c>
      <c r="I130" s="242">
        <v>80.5</v>
      </c>
      <c r="J130" s="242">
        <v>80.5</v>
      </c>
      <c r="K130" s="242">
        <v>11.3</v>
      </c>
      <c r="L130" s="242">
        <v>73</v>
      </c>
      <c r="O130" s="242">
        <v>80.5</v>
      </c>
      <c r="P130" s="242">
        <v>11.3</v>
      </c>
      <c r="Q130" s="245">
        <v>137</v>
      </c>
      <c r="R130" s="184">
        <f t="shared" si="17"/>
        <v>-0.98600000000001842</v>
      </c>
    </row>
    <row r="131" spans="1:18" ht="15" customHeight="1" x14ac:dyDescent="0.2">
      <c r="B131" s="106">
        <v>3</v>
      </c>
      <c r="C131" s="121">
        <f t="shared" si="18"/>
        <v>84.456000000000017</v>
      </c>
      <c r="D131" s="121">
        <f t="shared" si="19"/>
        <v>157.45600000000002</v>
      </c>
      <c r="E131" s="121">
        <f t="shared" si="20"/>
        <v>64.956000000000003</v>
      </c>
      <c r="F131" s="121">
        <f t="shared" si="16"/>
        <v>62</v>
      </c>
      <c r="G131" s="177">
        <f t="shared" si="16"/>
        <v>2.956</v>
      </c>
      <c r="H131" s="157">
        <f t="shared" si="21"/>
        <v>4.5507728308393371E-2</v>
      </c>
      <c r="I131" s="243">
        <v>80</v>
      </c>
      <c r="J131" s="243">
        <v>80</v>
      </c>
      <c r="K131" s="243">
        <v>12.5</v>
      </c>
      <c r="L131" s="243">
        <v>73</v>
      </c>
      <c r="O131" s="243">
        <v>80</v>
      </c>
      <c r="P131" s="243">
        <v>12.5</v>
      </c>
      <c r="Q131" s="246">
        <v>156</v>
      </c>
      <c r="R131" s="184">
        <f t="shared" si="17"/>
        <v>-1.4560000000000173</v>
      </c>
    </row>
    <row r="132" spans="1:18" ht="15" customHeight="1" x14ac:dyDescent="0.2">
      <c r="B132" s="106">
        <v>4</v>
      </c>
      <c r="C132" s="121">
        <f t="shared" si="18"/>
        <v>101.51200000000003</v>
      </c>
      <c r="D132" s="121">
        <f t="shared" si="19"/>
        <v>174.51200000000003</v>
      </c>
      <c r="E132" s="121">
        <f t="shared" si="20"/>
        <v>80.412000000000006</v>
      </c>
      <c r="F132" s="121">
        <f t="shared" si="16"/>
        <v>75.5</v>
      </c>
      <c r="G132" s="177">
        <f t="shared" si="16"/>
        <v>4.9119999999999999</v>
      </c>
      <c r="H132" s="157">
        <f t="shared" si="21"/>
        <v>6.1085410137790376E-2</v>
      </c>
      <c r="I132" s="243">
        <v>79.7</v>
      </c>
      <c r="J132" s="243">
        <v>79.7</v>
      </c>
      <c r="K132" s="243">
        <v>14.4</v>
      </c>
      <c r="L132" s="243">
        <v>73</v>
      </c>
      <c r="O132" s="243">
        <v>79.7</v>
      </c>
      <c r="P132" s="243">
        <v>14.4</v>
      </c>
      <c r="Q132" s="246">
        <v>172</v>
      </c>
      <c r="R132" s="184">
        <f t="shared" si="17"/>
        <v>-2.5120000000000289</v>
      </c>
    </row>
    <row r="133" spans="1:18" ht="15" customHeight="1" x14ac:dyDescent="0.2">
      <c r="B133" s="106">
        <v>5</v>
      </c>
      <c r="C133" s="120">
        <f t="shared" si="18"/>
        <v>117.334</v>
      </c>
      <c r="D133" s="120">
        <f t="shared" si="19"/>
        <v>190.334</v>
      </c>
      <c r="E133" s="120">
        <f t="shared" si="20"/>
        <v>98.433999999999997</v>
      </c>
      <c r="F133" s="120">
        <f t="shared" si="16"/>
        <v>91.1</v>
      </c>
      <c r="G133" s="176">
        <f t="shared" si="16"/>
        <v>7.3339999999999996</v>
      </c>
      <c r="H133" s="156">
        <f t="shared" si="21"/>
        <v>7.4506776113944365E-2</v>
      </c>
      <c r="I133" s="242">
        <v>79.599999999999994</v>
      </c>
      <c r="J133" s="242">
        <v>79.599999999999994</v>
      </c>
      <c r="K133" s="242">
        <v>12.3</v>
      </c>
      <c r="L133" s="242">
        <v>73</v>
      </c>
      <c r="O133" s="242">
        <v>79.599999999999994</v>
      </c>
      <c r="P133" s="242">
        <v>12.3</v>
      </c>
      <c r="Q133" s="245">
        <v>187</v>
      </c>
      <c r="R133" s="184">
        <f t="shared" si="17"/>
        <v>-3.3340000000000032</v>
      </c>
    </row>
    <row r="134" spans="1:18" ht="15" customHeight="1" x14ac:dyDescent="0.2">
      <c r="B134" s="106">
        <v>10</v>
      </c>
      <c r="C134" s="121">
        <f t="shared" si="18"/>
        <v>187.16399999999999</v>
      </c>
      <c r="D134" s="121">
        <f t="shared" si="19"/>
        <v>260.16399999999999</v>
      </c>
      <c r="E134" s="121">
        <f t="shared" si="20"/>
        <v>168.86399999999998</v>
      </c>
      <c r="F134" s="121">
        <f t="shared" si="16"/>
        <v>150.69999999999999</v>
      </c>
      <c r="G134" s="177">
        <f t="shared" si="16"/>
        <v>18.164000000000001</v>
      </c>
      <c r="H134" s="157">
        <f t="shared" si="21"/>
        <v>0.1075658518097404</v>
      </c>
      <c r="I134" s="243">
        <v>79.7</v>
      </c>
      <c r="J134" s="243">
        <v>79.7</v>
      </c>
      <c r="K134" s="243">
        <v>11.6</v>
      </c>
      <c r="L134" s="243">
        <v>73</v>
      </c>
      <c r="O134" s="243">
        <v>79.7</v>
      </c>
      <c r="P134" s="243">
        <v>11.6</v>
      </c>
      <c r="Q134" s="246">
        <v>257</v>
      </c>
      <c r="R134" s="184">
        <f t="shared" si="17"/>
        <v>-3.1639999999999873</v>
      </c>
    </row>
    <row r="135" spans="1:18" ht="15" customHeight="1" x14ac:dyDescent="0.2">
      <c r="B135" s="106">
        <v>20</v>
      </c>
      <c r="C135" s="121">
        <f t="shared" si="18"/>
        <v>307.79299999999995</v>
      </c>
      <c r="D135" s="121">
        <f t="shared" si="19"/>
        <v>380.79299999999995</v>
      </c>
      <c r="E135" s="121">
        <f t="shared" si="20"/>
        <v>289.89299999999997</v>
      </c>
      <c r="F135" s="121">
        <f t="shared" si="16"/>
        <v>252.2</v>
      </c>
      <c r="G135" s="177">
        <f t="shared" si="16"/>
        <v>37.692999999999998</v>
      </c>
      <c r="H135" s="157">
        <f t="shared" si="21"/>
        <v>0.13002383638100956</v>
      </c>
      <c r="I135" s="243">
        <v>79.599999999999994</v>
      </c>
      <c r="J135" s="243">
        <v>79.599999999999994</v>
      </c>
      <c r="K135" s="243">
        <v>11.3</v>
      </c>
      <c r="L135" s="243">
        <v>73</v>
      </c>
      <c r="O135" s="243">
        <v>79.599999999999994</v>
      </c>
      <c r="P135" s="243">
        <v>11.3</v>
      </c>
      <c r="Q135" s="246">
        <v>385</v>
      </c>
      <c r="R135" s="184">
        <f t="shared" si="17"/>
        <v>4.2070000000000505</v>
      </c>
    </row>
    <row r="136" spans="1:18" ht="15" customHeight="1" x14ac:dyDescent="0.2">
      <c r="B136" s="106">
        <v>30</v>
      </c>
      <c r="C136" s="121">
        <f t="shared" si="18"/>
        <v>411.43100000000004</v>
      </c>
      <c r="D136" s="121">
        <f t="shared" si="19"/>
        <v>484.43100000000004</v>
      </c>
      <c r="E136" s="121">
        <f>F136+G136</f>
        <v>390.93100000000004</v>
      </c>
      <c r="F136" s="121">
        <f t="shared" si="16"/>
        <v>340.1</v>
      </c>
      <c r="G136" s="177">
        <f t="shared" si="16"/>
        <v>50.831000000000003</v>
      </c>
      <c r="H136" s="157">
        <f t="shared" si="21"/>
        <v>0.13002550322179618</v>
      </c>
      <c r="I136" s="243">
        <v>80</v>
      </c>
      <c r="J136" s="243">
        <v>80</v>
      </c>
      <c r="K136" s="243">
        <v>13.5</v>
      </c>
      <c r="L136" s="243">
        <v>73</v>
      </c>
      <c r="O136" s="243">
        <v>80</v>
      </c>
      <c r="P136" s="243">
        <v>13.5</v>
      </c>
      <c r="Q136" s="246">
        <v>491</v>
      </c>
      <c r="R136" s="184">
        <f t="shared" si="17"/>
        <v>6.56899999999996</v>
      </c>
    </row>
    <row r="137" spans="1:18" ht="15" customHeight="1" x14ac:dyDescent="0.2">
      <c r="B137" s="106">
        <v>40</v>
      </c>
      <c r="C137" s="121">
        <f t="shared" si="18"/>
        <v>506.33100000000002</v>
      </c>
      <c r="D137" s="121">
        <f t="shared" si="19"/>
        <v>579.33100000000002</v>
      </c>
      <c r="E137" s="121">
        <f t="shared" ref="E137:E138" si="22">F137+G137</f>
        <v>483.23099999999999</v>
      </c>
      <c r="F137" s="121">
        <f t="shared" si="16"/>
        <v>420.4</v>
      </c>
      <c r="G137" s="177">
        <f t="shared" si="16"/>
        <v>62.831000000000003</v>
      </c>
      <c r="H137" s="157">
        <f t="shared" si="21"/>
        <v>0.13002270135814964</v>
      </c>
      <c r="I137" s="243">
        <v>81.099999999999994</v>
      </c>
      <c r="J137" s="243">
        <v>81.099999999999994</v>
      </c>
      <c r="K137" s="243">
        <v>15</v>
      </c>
      <c r="L137" s="243">
        <v>73</v>
      </c>
      <c r="O137" s="243">
        <v>81.099999999999994</v>
      </c>
      <c r="P137" s="243">
        <v>15</v>
      </c>
      <c r="Q137" s="246">
        <v>586</v>
      </c>
      <c r="R137" s="184">
        <f t="shared" si="17"/>
        <v>6.6689999999999827</v>
      </c>
    </row>
    <row r="138" spans="1:18" ht="15" customHeight="1" x14ac:dyDescent="0.2">
      <c r="B138" s="106">
        <v>50</v>
      </c>
      <c r="C138" s="120">
        <f t="shared" si="18"/>
        <v>597.02700000000004</v>
      </c>
      <c r="D138" s="120">
        <f t="shared" si="19"/>
        <v>670.02700000000004</v>
      </c>
      <c r="E138" s="120">
        <f t="shared" si="22"/>
        <v>572.42700000000002</v>
      </c>
      <c r="F138" s="120">
        <f t="shared" si="16"/>
        <v>498</v>
      </c>
      <c r="G138" s="176">
        <f t="shared" si="16"/>
        <v>74.427000000000007</v>
      </c>
      <c r="H138" s="156">
        <f t="shared" si="21"/>
        <v>0.1300200724284494</v>
      </c>
      <c r="I138" s="242">
        <v>82.7</v>
      </c>
      <c r="J138" s="242">
        <v>82.7</v>
      </c>
      <c r="K138" s="242">
        <v>14.9</v>
      </c>
      <c r="L138" s="242">
        <v>73</v>
      </c>
      <c r="O138" s="242">
        <v>82.7</v>
      </c>
      <c r="P138" s="242">
        <v>14.9</v>
      </c>
      <c r="Q138" s="245">
        <v>677</v>
      </c>
      <c r="R138" s="184">
        <f t="shared" si="17"/>
        <v>6.9729999999999563</v>
      </c>
    </row>
    <row r="139" spans="1:18" ht="15" customHeight="1" x14ac:dyDescent="0.2">
      <c r="I139" s="38"/>
    </row>
    <row r="140" spans="1:18" ht="15" customHeight="1" x14ac:dyDescent="0.2">
      <c r="I140" s="38"/>
    </row>
    <row r="141" spans="1:18" x14ac:dyDescent="0.2">
      <c r="A141" s="90" t="s">
        <v>82</v>
      </c>
      <c r="B141" s="64" t="s">
        <v>83</v>
      </c>
      <c r="I141" s="38"/>
    </row>
    <row r="142" spans="1:18" ht="15" customHeight="1" x14ac:dyDescent="0.2"/>
    <row r="143" spans="1:18" ht="15" customHeight="1" x14ac:dyDescent="0.2">
      <c r="B143" s="90" t="s">
        <v>91</v>
      </c>
      <c r="C143" s="40"/>
      <c r="I143" s="38"/>
    </row>
    <row r="144" spans="1:18" ht="15" customHeight="1" x14ac:dyDescent="0.2">
      <c r="B144" s="64" t="s">
        <v>92</v>
      </c>
      <c r="C144" s="40"/>
      <c r="D144" s="40"/>
      <c r="E144" s="40"/>
      <c r="F144" s="40"/>
      <c r="G144" s="40"/>
      <c r="H144" s="40"/>
      <c r="I144" s="40"/>
      <c r="J144" s="40"/>
      <c r="K144" s="40"/>
      <c r="L144" s="40"/>
      <c r="Q144" s="28" t="s">
        <v>168</v>
      </c>
    </row>
    <row r="145" spans="2:19" ht="15" customHeight="1" x14ac:dyDescent="0.2">
      <c r="B145" s="90" t="s">
        <v>93</v>
      </c>
      <c r="C145" s="40"/>
      <c r="D145" s="40"/>
      <c r="E145" s="40"/>
      <c r="F145" s="306" t="s">
        <v>153</v>
      </c>
      <c r="G145" s="40"/>
      <c r="H145" s="40"/>
      <c r="I145" s="28" t="s">
        <v>24</v>
      </c>
      <c r="J145" s="40"/>
      <c r="K145" s="40"/>
      <c r="Q145" s="28" t="s">
        <v>169</v>
      </c>
    </row>
    <row r="146" spans="2:19" ht="15" customHeight="1" x14ac:dyDescent="0.2">
      <c r="D146" s="56"/>
      <c r="H146" s="31" t="s">
        <v>11</v>
      </c>
      <c r="I146" s="32"/>
      <c r="J146" s="32"/>
      <c r="K146" s="33"/>
      <c r="L146" s="31" t="s">
        <v>16</v>
      </c>
      <c r="M146" s="32"/>
      <c r="N146" s="33"/>
      <c r="O146" s="84"/>
      <c r="P146" s="91" t="s">
        <v>56</v>
      </c>
      <c r="Q146" t="s">
        <v>117</v>
      </c>
    </row>
    <row r="147" spans="2:19" ht="15" customHeight="1" x14ac:dyDescent="0.2">
      <c r="C147" s="41"/>
      <c r="D147" s="57"/>
      <c r="F147" s="304" t="s">
        <v>84</v>
      </c>
      <c r="G147" s="301" t="s">
        <v>119</v>
      </c>
      <c r="H147" s="18" t="s">
        <v>12</v>
      </c>
      <c r="I147" s="159" t="s">
        <v>27</v>
      </c>
      <c r="J147" s="9"/>
      <c r="K147" s="10"/>
      <c r="L147" s="18" t="s">
        <v>17</v>
      </c>
      <c r="M147" s="159" t="s">
        <v>40</v>
      </c>
      <c r="N147" s="25"/>
      <c r="O147" s="84"/>
      <c r="P147" s="95" t="s">
        <v>40</v>
      </c>
      <c r="Q147" s="254" t="e">
        <f>P147/M147</f>
        <v>#DIV/0!</v>
      </c>
      <c r="R147" s="254" t="e">
        <f>G147*Q147</f>
        <v>#DIV/0!</v>
      </c>
      <c r="S147" s="267" t="s">
        <v>130</v>
      </c>
    </row>
    <row r="148" spans="2:19" ht="15" customHeight="1" x14ac:dyDescent="0.2">
      <c r="B148" s="256" t="s">
        <v>5</v>
      </c>
      <c r="C148" s="257"/>
      <c r="D148" s="258"/>
      <c r="E148" s="303" t="s">
        <v>21</v>
      </c>
      <c r="F148" s="305" t="s">
        <v>23</v>
      </c>
      <c r="G148" s="302" t="s">
        <v>120</v>
      </c>
      <c r="H148" s="20" t="s">
        <v>13</v>
      </c>
      <c r="I148" s="21" t="s">
        <v>14</v>
      </c>
      <c r="J148" s="1"/>
      <c r="K148" s="22"/>
      <c r="L148" s="20" t="s">
        <v>18</v>
      </c>
      <c r="M148" s="21" t="s">
        <v>19</v>
      </c>
      <c r="N148" s="13"/>
      <c r="O148" s="84" t="s">
        <v>21</v>
      </c>
      <c r="P148" s="113" t="s">
        <v>54</v>
      </c>
      <c r="Q148" s="265" t="s">
        <v>115</v>
      </c>
      <c r="R148" s="265" t="s">
        <v>116</v>
      </c>
    </row>
    <row r="149" spans="2:19" ht="15" customHeight="1" x14ac:dyDescent="0.2">
      <c r="B149" s="259" t="s">
        <v>6</v>
      </c>
      <c r="C149" s="12" t="s">
        <v>9</v>
      </c>
      <c r="D149" s="260">
        <v>2.46</v>
      </c>
      <c r="E149" s="255">
        <v>1</v>
      </c>
      <c r="F149" s="249">
        <v>1.0983570292161815</v>
      </c>
      <c r="G149" s="122">
        <v>1.1604868646382347</v>
      </c>
      <c r="H149" s="34">
        <f>(D150*2.20462*25.4*12)</f>
        <v>3359.8408799999997</v>
      </c>
      <c r="I149" s="5">
        <f t="shared" ref="I149:I158" si="23">F149*D$149*SQRT(4*D$151*H$149/32.2)/12</f>
        <v>42.410000000000004</v>
      </c>
      <c r="J149" s="1"/>
      <c r="K149" s="22"/>
      <c r="L149" s="96">
        <v>1</v>
      </c>
      <c r="M149" s="92">
        <f>L149*I149</f>
        <v>42.410000000000004</v>
      </c>
      <c r="N149" s="13"/>
      <c r="O149" s="84">
        <v>1</v>
      </c>
      <c r="P149" s="92">
        <f>C129</f>
        <v>42.41</v>
      </c>
      <c r="Q149" s="254">
        <v>0.94646226741961337</v>
      </c>
      <c r="R149" s="254">
        <v>1.0983570292161815</v>
      </c>
      <c r="S149" s="267" t="s">
        <v>138</v>
      </c>
    </row>
    <row r="150" spans="2:19" ht="15" customHeight="1" x14ac:dyDescent="0.2">
      <c r="B150" s="259" t="s">
        <v>7</v>
      </c>
      <c r="C150" s="12" t="s">
        <v>10</v>
      </c>
      <c r="D150" s="260">
        <v>5</v>
      </c>
      <c r="E150" s="255">
        <v>2</v>
      </c>
      <c r="F150" s="250">
        <v>0.84152122023865594</v>
      </c>
      <c r="G150" s="123">
        <v>0.91778073251327541</v>
      </c>
      <c r="H150" s="35"/>
      <c r="I150" s="5">
        <f t="shared" si="23"/>
        <v>32.493000000000009</v>
      </c>
      <c r="J150" s="1"/>
      <c r="K150" s="22"/>
      <c r="L150" s="97">
        <v>2</v>
      </c>
      <c r="M150" s="93">
        <f t="shared" ref="M150:M158" si="24">L150*I150</f>
        <v>64.986000000000018</v>
      </c>
      <c r="N150" s="13"/>
      <c r="O150" s="84">
        <v>2</v>
      </c>
      <c r="P150" s="93">
        <f t="shared" ref="P150:P158" si="25">C130</f>
        <v>64.986000000000018</v>
      </c>
      <c r="Q150" s="254">
        <v>0.91690878924229713</v>
      </c>
      <c r="R150" s="254">
        <v>0.84152122023865594</v>
      </c>
      <c r="S150" s="267" t="s">
        <v>139</v>
      </c>
    </row>
    <row r="151" spans="2:19" ht="15" customHeight="1" x14ac:dyDescent="0.2">
      <c r="B151" s="261" t="s">
        <v>8</v>
      </c>
      <c r="C151" s="262" t="s">
        <v>15</v>
      </c>
      <c r="D151" s="263">
        <v>85</v>
      </c>
      <c r="E151" s="255">
        <v>3</v>
      </c>
      <c r="F151" s="249">
        <v>0.72909566344008381</v>
      </c>
      <c r="G151" s="122">
        <v>0.81823807686050931</v>
      </c>
      <c r="H151" s="35"/>
      <c r="I151" s="5">
        <f t="shared" si="23"/>
        <v>28.152000000000012</v>
      </c>
      <c r="J151" s="1"/>
      <c r="K151" s="22"/>
      <c r="L151" s="98">
        <v>3</v>
      </c>
      <c r="M151" s="94">
        <f t="shared" si="24"/>
        <v>84.456000000000031</v>
      </c>
      <c r="N151" s="13"/>
      <c r="O151" s="84">
        <v>3</v>
      </c>
      <c r="P151" s="94">
        <f t="shared" si="25"/>
        <v>84.456000000000017</v>
      </c>
      <c r="Q151" s="254">
        <v>0.89105565245453344</v>
      </c>
      <c r="R151" s="254">
        <v>0.72909566344008381</v>
      </c>
    </row>
    <row r="152" spans="2:19" ht="15" customHeight="1" x14ac:dyDescent="0.2">
      <c r="E152" s="30">
        <v>4</v>
      </c>
      <c r="F152" s="249">
        <v>0.65725311689338028</v>
      </c>
      <c r="G152" s="122">
        <v>0.75688394959087935</v>
      </c>
      <c r="H152" s="35"/>
      <c r="I152" s="5">
        <f t="shared" si="23"/>
        <v>25.378</v>
      </c>
      <c r="J152" s="1"/>
      <c r="K152" s="22"/>
      <c r="L152" s="98">
        <v>4</v>
      </c>
      <c r="M152" s="94">
        <f t="shared" si="24"/>
        <v>101.512</v>
      </c>
      <c r="N152" s="13"/>
      <c r="O152" s="84">
        <v>4</v>
      </c>
      <c r="P152" s="94">
        <f t="shared" si="25"/>
        <v>101.51200000000003</v>
      </c>
      <c r="Q152" s="254">
        <v>0.86836709544263324</v>
      </c>
      <c r="R152" s="254">
        <v>0.65725311689338028</v>
      </c>
    </row>
    <row r="153" spans="2:19" ht="15" customHeight="1" x14ac:dyDescent="0.2">
      <c r="B153" s="268" t="s">
        <v>132</v>
      </c>
      <c r="E153" s="30">
        <v>5</v>
      </c>
      <c r="F153" s="250">
        <v>0.60775582959703578</v>
      </c>
      <c r="G153" s="123">
        <v>0.71105616136188121</v>
      </c>
      <c r="H153" s="35"/>
      <c r="I153" s="5">
        <f t="shared" si="23"/>
        <v>23.466799999999996</v>
      </c>
      <c r="J153" s="1"/>
      <c r="K153" s="22"/>
      <c r="L153" s="97">
        <v>5</v>
      </c>
      <c r="M153" s="93">
        <f t="shared" si="24"/>
        <v>117.33399999999997</v>
      </c>
      <c r="N153" s="13"/>
      <c r="O153" s="84">
        <v>5</v>
      </c>
      <c r="P153" s="93">
        <f t="shared" si="25"/>
        <v>117.334</v>
      </c>
      <c r="Q153" s="254">
        <v>0.85472268242919802</v>
      </c>
      <c r="R153" s="254">
        <v>0.60775582959703578</v>
      </c>
    </row>
    <row r="154" spans="2:19" ht="15" customHeight="1" x14ac:dyDescent="0.2">
      <c r="B154" s="42" t="s">
        <v>131</v>
      </c>
      <c r="E154" s="30">
        <v>10</v>
      </c>
      <c r="F154" s="249">
        <v>0.48472741102621414</v>
      </c>
      <c r="G154" s="122">
        <v>0.57043422254909637</v>
      </c>
      <c r="H154" s="35"/>
      <c r="I154" s="5">
        <f t="shared" si="23"/>
        <v>18.7164</v>
      </c>
      <c r="J154" s="1"/>
      <c r="K154" s="22"/>
      <c r="L154" s="98">
        <v>10</v>
      </c>
      <c r="M154" s="94">
        <f t="shared" si="24"/>
        <v>187.16399999999999</v>
      </c>
      <c r="N154" s="13"/>
      <c r="O154" s="84">
        <v>10</v>
      </c>
      <c r="P154" s="94">
        <f t="shared" si="25"/>
        <v>187.16399999999999</v>
      </c>
      <c r="Q154" s="254">
        <v>0.84975163106469198</v>
      </c>
      <c r="R154" s="254">
        <v>0.48472741102621414</v>
      </c>
    </row>
    <row r="155" spans="2:19" ht="15" customHeight="1" x14ac:dyDescent="0.2">
      <c r="E155" s="30">
        <v>20</v>
      </c>
      <c r="F155" s="249">
        <v>0.3985694471746476</v>
      </c>
      <c r="G155" s="122">
        <v>0.46903075536180089</v>
      </c>
      <c r="H155" s="35"/>
      <c r="I155" s="5">
        <f t="shared" si="23"/>
        <v>15.389649999999996</v>
      </c>
      <c r="J155" s="1"/>
      <c r="K155" s="22"/>
      <c r="L155" s="98">
        <v>20</v>
      </c>
      <c r="M155" s="94">
        <f t="shared" si="24"/>
        <v>307.79299999999989</v>
      </c>
      <c r="N155" s="13"/>
      <c r="O155" s="84">
        <v>20</v>
      </c>
      <c r="P155" s="94">
        <f t="shared" si="25"/>
        <v>307.79299999999995</v>
      </c>
      <c r="Q155" s="254">
        <v>0.84977252049750795</v>
      </c>
      <c r="R155" s="254">
        <v>0.3985694471746476</v>
      </c>
    </row>
    <row r="156" spans="2:19" ht="15" customHeight="1" x14ac:dyDescent="0.2">
      <c r="E156" s="30">
        <v>30</v>
      </c>
      <c r="F156" s="249">
        <v>0.35518205681635057</v>
      </c>
      <c r="G156" s="122">
        <v>0.41724131523590352</v>
      </c>
      <c r="H156" s="35"/>
      <c r="I156" s="5">
        <f t="shared" si="23"/>
        <v>13.714366666666669</v>
      </c>
      <c r="J156" s="1"/>
      <c r="K156" s="22"/>
      <c r="L156" s="98">
        <v>30</v>
      </c>
      <c r="M156" s="94">
        <f>L156*I156</f>
        <v>411.43100000000004</v>
      </c>
      <c r="N156" s="13"/>
      <c r="O156" s="84">
        <v>30</v>
      </c>
      <c r="P156" s="94">
        <f t="shared" si="25"/>
        <v>411.43100000000004</v>
      </c>
      <c r="Q156" s="254">
        <v>0.85126291152527556</v>
      </c>
      <c r="R156" s="254">
        <v>0.35518205681635057</v>
      </c>
    </row>
    <row r="157" spans="2:19" ht="15" customHeight="1" x14ac:dyDescent="0.2">
      <c r="E157" s="30">
        <v>40</v>
      </c>
      <c r="F157" s="249">
        <v>0.327830825842996</v>
      </c>
      <c r="G157" s="122">
        <v>0.38292441080101092</v>
      </c>
      <c r="H157" s="35"/>
      <c r="I157" s="5">
        <f t="shared" si="23"/>
        <v>12.658274999999998</v>
      </c>
      <c r="J157" s="1"/>
      <c r="K157" s="22"/>
      <c r="L157" s="98">
        <v>40</v>
      </c>
      <c r="M157" s="94">
        <f t="shared" si="24"/>
        <v>506.3309999999999</v>
      </c>
      <c r="N157" s="13"/>
      <c r="O157" s="84">
        <v>40</v>
      </c>
      <c r="P157" s="126">
        <f t="shared" si="25"/>
        <v>506.33100000000002</v>
      </c>
      <c r="Q157" s="254">
        <v>0.85612412422919504</v>
      </c>
      <c r="R157" s="254">
        <v>0.327830825842996</v>
      </c>
    </row>
    <row r="158" spans="2:19" ht="15" customHeight="1" x14ac:dyDescent="0.2">
      <c r="E158" s="30">
        <v>50</v>
      </c>
      <c r="F158" s="250">
        <v>0.30924253811924035</v>
      </c>
      <c r="G158" s="123">
        <v>0.35771584232645182</v>
      </c>
      <c r="H158" s="36"/>
      <c r="I158" s="23">
        <f t="shared" si="23"/>
        <v>11.940539999999999</v>
      </c>
      <c r="J158" s="24"/>
      <c r="K158" s="17"/>
      <c r="L158" s="99">
        <v>50</v>
      </c>
      <c r="M158" s="100">
        <f t="shared" si="24"/>
        <v>597.02699999999993</v>
      </c>
      <c r="N158" s="16"/>
      <c r="O158" s="107">
        <v>50</v>
      </c>
      <c r="P158" s="127">
        <f t="shared" si="25"/>
        <v>597.02700000000004</v>
      </c>
      <c r="Q158" s="254">
        <v>0.86449215139044733</v>
      </c>
      <c r="R158" s="254">
        <v>0.30924253811924035</v>
      </c>
    </row>
    <row r="159" spans="2:19" ht="15" customHeight="1" x14ac:dyDescent="0.2">
      <c r="E159" s="2"/>
      <c r="F159" s="160"/>
      <c r="G159" s="160"/>
      <c r="H159" s="40"/>
      <c r="I159" s="161"/>
      <c r="J159" s="40"/>
      <c r="K159" s="40"/>
      <c r="L159" s="162"/>
      <c r="M159" s="162"/>
      <c r="N159" s="66"/>
      <c r="O159" s="163"/>
      <c r="P159" s="162"/>
    </row>
    <row r="160" spans="2:19" ht="15" customHeight="1" x14ac:dyDescent="0.2">
      <c r="E160" s="2"/>
      <c r="F160" s="160"/>
      <c r="G160" s="160"/>
      <c r="H160" s="40"/>
      <c r="I160" s="161"/>
      <c r="J160" s="40"/>
      <c r="L160" s="162"/>
      <c r="M160" s="321"/>
      <c r="N160" s="322" t="s">
        <v>167</v>
      </c>
      <c r="P160" s="162"/>
    </row>
    <row r="161" spans="1:19" ht="15" customHeight="1" x14ac:dyDescent="0.2">
      <c r="F161" s="41"/>
      <c r="G161" s="41"/>
      <c r="H161" s="41"/>
      <c r="I161" s="41"/>
      <c r="J161" s="41"/>
      <c r="K161" s="41"/>
      <c r="L161" s="41"/>
      <c r="M161" s="41"/>
      <c r="N161" s="41"/>
      <c r="O161" s="41"/>
      <c r="P161" s="41"/>
    </row>
    <row r="162" spans="1:19" ht="15" customHeight="1" x14ac:dyDescent="0.2">
      <c r="A162" s="90" t="s">
        <v>85</v>
      </c>
      <c r="B162" s="64" t="s">
        <v>86</v>
      </c>
    </row>
    <row r="163" spans="1:19" ht="15" customHeight="1" x14ac:dyDescent="0.2">
      <c r="B163" s="90" t="s">
        <v>87</v>
      </c>
    </row>
    <row r="164" spans="1:19" ht="15" customHeight="1" x14ac:dyDescent="0.2">
      <c r="B164" s="90"/>
    </row>
    <row r="165" spans="1:19" ht="15" customHeight="1" x14ac:dyDescent="0.2">
      <c r="B165" s="90"/>
      <c r="F165" s="1"/>
    </row>
    <row r="166" spans="1:19" ht="15" customHeight="1" x14ac:dyDescent="0.2">
      <c r="B166" s="64"/>
      <c r="J166" s="64" t="s">
        <v>88</v>
      </c>
    </row>
    <row r="167" spans="1:19" ht="15" customHeight="1" thickBot="1" x14ac:dyDescent="0.25">
      <c r="B167" s="90"/>
      <c r="H167" s="251" t="s">
        <v>89</v>
      </c>
    </row>
    <row r="168" spans="1:19" ht="15" customHeight="1" x14ac:dyDescent="0.2">
      <c r="F168" s="117" t="s">
        <v>56</v>
      </c>
      <c r="L168" s="164" t="s">
        <v>90</v>
      </c>
      <c r="P168" s="141"/>
    </row>
    <row r="169" spans="1:19" ht="15" customHeight="1" x14ac:dyDescent="0.2">
      <c r="F169" s="117" t="s">
        <v>33</v>
      </c>
      <c r="H169" s="173" t="s">
        <v>33</v>
      </c>
      <c r="L169" s="65">
        <v>1</v>
      </c>
      <c r="M169" s="52" t="s">
        <v>12</v>
      </c>
      <c r="N169" s="124" t="s">
        <v>27</v>
      </c>
      <c r="O169" s="52" t="s">
        <v>33</v>
      </c>
      <c r="P169" s="142" t="s">
        <v>52</v>
      </c>
      <c r="S169" s="174" t="s">
        <v>97</v>
      </c>
    </row>
    <row r="170" spans="1:19" ht="15" customHeight="1" x14ac:dyDescent="0.2">
      <c r="B170" s="269">
        <f>D149</f>
        <v>2.46</v>
      </c>
      <c r="C170" s="78" t="s">
        <v>3</v>
      </c>
      <c r="D170" s="10"/>
      <c r="E170" s="3" t="s">
        <v>2</v>
      </c>
      <c r="F170" s="117" t="s">
        <v>72</v>
      </c>
      <c r="G170" s="29" t="s">
        <v>20</v>
      </c>
      <c r="H170" s="4" t="s">
        <v>25</v>
      </c>
      <c r="J170" s="38" t="s">
        <v>60</v>
      </c>
      <c r="K170" s="3" t="s">
        <v>2</v>
      </c>
      <c r="L170" s="4" t="s">
        <v>25</v>
      </c>
      <c r="M170" s="21" t="s">
        <v>13</v>
      </c>
      <c r="N170" s="125" t="s">
        <v>61</v>
      </c>
      <c r="O170" s="21" t="s">
        <v>19</v>
      </c>
      <c r="P170" s="142" t="s">
        <v>36</v>
      </c>
      <c r="Q170" s="165" t="s">
        <v>96</v>
      </c>
      <c r="R170" s="165" t="s">
        <v>59</v>
      </c>
      <c r="S170" s="172" t="s">
        <v>28</v>
      </c>
    </row>
    <row r="171" spans="1:19" ht="15" customHeight="1" x14ac:dyDescent="0.2">
      <c r="B171" s="270">
        <f t="shared" ref="B171:B172" si="26">D150</f>
        <v>5</v>
      </c>
      <c r="C171" s="1" t="s">
        <v>0</v>
      </c>
      <c r="D171" s="22"/>
      <c r="E171" s="71">
        <v>1</v>
      </c>
      <c r="F171" s="55">
        <f>F129</f>
        <v>22.3</v>
      </c>
      <c r="G171" s="46">
        <f>F171/E171</f>
        <v>22.3</v>
      </c>
      <c r="H171" s="63">
        <f t="shared" ref="H171:H180" si="27">SQRT(12*32.2*G171^2/(4*$B$172*($B$171*56)*$B$170^2))</f>
        <v>0.57752373913790434</v>
      </c>
      <c r="J171" s="63">
        <v>0.57752373913790434</v>
      </c>
      <c r="K171" s="71">
        <v>1</v>
      </c>
      <c r="L171" s="63">
        <f>J171*$L$169</f>
        <v>0.57752373913790434</v>
      </c>
      <c r="M171" s="5">
        <f>(B171*2.20462*25.4*12)</f>
        <v>3359.8408799999997</v>
      </c>
      <c r="N171" s="74">
        <f t="shared" ref="N171:N180" si="28">L171*B$170*SQRT(4*B$172*M$171/32.2)/12</f>
        <v>22.299471961605473</v>
      </c>
      <c r="O171" s="74">
        <f>K171*N171</f>
        <v>22.299471961605473</v>
      </c>
      <c r="P171" s="137">
        <f t="shared" ref="P171:P180" si="29">M101</f>
        <v>1.0139013452914798</v>
      </c>
      <c r="Q171" s="60">
        <f>P171*O171</f>
        <v>22.609464621161422</v>
      </c>
      <c r="R171" s="60">
        <f>Q171-O171</f>
        <v>0.30999265955594879</v>
      </c>
      <c r="S171" s="169">
        <f>R171/Q171</f>
        <v>1.3710747456877411E-2</v>
      </c>
    </row>
    <row r="172" spans="1:19" ht="15" customHeight="1" x14ac:dyDescent="0.2">
      <c r="B172" s="271">
        <f t="shared" si="26"/>
        <v>85</v>
      </c>
      <c r="C172" s="77" t="s">
        <v>1</v>
      </c>
      <c r="D172" s="17"/>
      <c r="E172" s="70">
        <v>2</v>
      </c>
      <c r="F172" s="54">
        <f t="shared" ref="F172:F180" si="30">F130</f>
        <v>44.8</v>
      </c>
      <c r="G172" s="45">
        <f t="shared" ref="G172:G180" si="31">F172/E172</f>
        <v>22.4</v>
      </c>
      <c r="H172" s="62">
        <f t="shared" si="27"/>
        <v>0.58011353169009217</v>
      </c>
      <c r="J172" s="62">
        <v>0.58011353169009217</v>
      </c>
      <c r="K172" s="70">
        <v>2</v>
      </c>
      <c r="L172" s="62">
        <f t="shared" ref="L172:L180" si="32">J172*$L$169</f>
        <v>0.58011353169009217</v>
      </c>
      <c r="N172" s="73">
        <f t="shared" si="28"/>
        <v>22.399469593720287</v>
      </c>
      <c r="O172" s="73">
        <f t="shared" ref="O172:O180" si="33">K172*N172</f>
        <v>44.798939187440574</v>
      </c>
      <c r="P172" s="137">
        <f t="shared" si="29"/>
        <v>1.0309375000000001</v>
      </c>
      <c r="Q172" s="59">
        <f t="shared" ref="Q172:Q180" si="34">P172*O172</f>
        <v>46.184906368552021</v>
      </c>
      <c r="R172" s="59">
        <f t="shared" ref="R172:R180" si="35">Q172-O172</f>
        <v>1.3859671811114467</v>
      </c>
      <c r="S172" s="170">
        <f t="shared" ref="S172:S180" si="36">R172/Q172</f>
        <v>3.0009093664746977E-2</v>
      </c>
    </row>
    <row r="173" spans="1:19" ht="15" customHeight="1" x14ac:dyDescent="0.2">
      <c r="E173" s="69">
        <v>3</v>
      </c>
      <c r="F173" s="50">
        <f t="shared" si="30"/>
        <v>62</v>
      </c>
      <c r="G173" s="44">
        <f t="shared" si="31"/>
        <v>20.666666666666668</v>
      </c>
      <c r="H173" s="61">
        <f t="shared" si="27"/>
        <v>0.53522379411883514</v>
      </c>
      <c r="J173" s="61">
        <v>0.53522379411883514</v>
      </c>
      <c r="K173" s="69">
        <v>3</v>
      </c>
      <c r="L173" s="61">
        <f t="shared" si="32"/>
        <v>0.53522379411883514</v>
      </c>
      <c r="N173" s="72">
        <f t="shared" si="28"/>
        <v>20.666177303730034</v>
      </c>
      <c r="O173" s="72">
        <f>K173*N173</f>
        <v>61.998531911190099</v>
      </c>
      <c r="P173" s="137">
        <f t="shared" si="29"/>
        <v>1.0476774193548388</v>
      </c>
      <c r="Q173" s="58">
        <f t="shared" si="34"/>
        <v>64.954461916504272</v>
      </c>
      <c r="R173" s="58">
        <f>Q173-O173</f>
        <v>2.9559300053141726</v>
      </c>
      <c r="S173" s="171">
        <f t="shared" si="36"/>
        <v>4.5507728308393558E-2</v>
      </c>
    </row>
    <row r="174" spans="1:19" ht="15" customHeight="1" x14ac:dyDescent="0.2">
      <c r="E174" s="69">
        <v>4</v>
      </c>
      <c r="F174" s="50">
        <f t="shared" si="30"/>
        <v>75.5</v>
      </c>
      <c r="G174" s="44">
        <f t="shared" si="31"/>
        <v>18.875</v>
      </c>
      <c r="H174" s="61">
        <f t="shared" si="27"/>
        <v>0.48882334422546836</v>
      </c>
      <c r="J174" s="61">
        <v>0.48882334422546836</v>
      </c>
      <c r="K174" s="69">
        <v>4</v>
      </c>
      <c r="L174" s="61">
        <f t="shared" si="32"/>
        <v>0.48882334422546836</v>
      </c>
      <c r="N174" s="72">
        <f t="shared" si="28"/>
        <v>18.874553061672795</v>
      </c>
      <c r="O174" s="72">
        <f t="shared" si="33"/>
        <v>75.498212246691182</v>
      </c>
      <c r="P174" s="137">
        <f t="shared" si="29"/>
        <v>1.0650596026490067</v>
      </c>
      <c r="Q174" s="58">
        <f t="shared" si="34"/>
        <v>80.410095936171274</v>
      </c>
      <c r="R174" s="58">
        <f t="shared" si="35"/>
        <v>4.9118836894800921</v>
      </c>
      <c r="S174" s="171">
        <f t="shared" si="36"/>
        <v>6.1085410137790362E-2</v>
      </c>
    </row>
    <row r="175" spans="1:19" ht="15" customHeight="1" x14ac:dyDescent="0.2">
      <c r="E175" s="70">
        <v>5</v>
      </c>
      <c r="F175" s="54">
        <f t="shared" si="30"/>
        <v>91.1</v>
      </c>
      <c r="G175" s="45">
        <f t="shared" si="31"/>
        <v>18.22</v>
      </c>
      <c r="H175" s="62">
        <f t="shared" si="27"/>
        <v>0.47186020300863751</v>
      </c>
      <c r="J175" s="62">
        <v>0.47186020300863751</v>
      </c>
      <c r="K175" s="70">
        <v>5</v>
      </c>
      <c r="L175" s="62">
        <f t="shared" si="32"/>
        <v>0.47186020300863751</v>
      </c>
      <c r="N175" s="73">
        <f t="shared" si="28"/>
        <v>18.219568571320703</v>
      </c>
      <c r="O175" s="73">
        <f t="shared" si="33"/>
        <v>91.097842856603521</v>
      </c>
      <c r="P175" s="137">
        <f t="shared" si="29"/>
        <v>1.0805049396267838</v>
      </c>
      <c r="Q175" s="59">
        <f t="shared" si="34"/>
        <v>98.431669195904632</v>
      </c>
      <c r="R175" s="59">
        <f t="shared" si="35"/>
        <v>7.3338263393011118</v>
      </c>
      <c r="S175" s="170">
        <f t="shared" si="36"/>
        <v>7.4506776113944476E-2</v>
      </c>
    </row>
    <row r="176" spans="1:19" ht="15" customHeight="1" x14ac:dyDescent="0.2">
      <c r="E176" s="69">
        <v>10</v>
      </c>
      <c r="F176" s="50">
        <f t="shared" si="30"/>
        <v>150.69999999999999</v>
      </c>
      <c r="G176" s="44">
        <f t="shared" si="31"/>
        <v>15.069999999999999</v>
      </c>
      <c r="H176" s="61">
        <f t="shared" si="27"/>
        <v>0.39028173761471824</v>
      </c>
      <c r="J176" s="61">
        <v>0.39028173761471824</v>
      </c>
      <c r="K176" s="75">
        <v>10</v>
      </c>
      <c r="L176" s="61">
        <f t="shared" si="32"/>
        <v>0.39028173761471824</v>
      </c>
      <c r="M176" s="41"/>
      <c r="N176" s="76">
        <f t="shared" si="28"/>
        <v>15.069643159703785</v>
      </c>
      <c r="O176" s="76">
        <f t="shared" si="33"/>
        <v>150.69643159703784</v>
      </c>
      <c r="P176" s="137">
        <f t="shared" si="29"/>
        <v>1.1205308560053084</v>
      </c>
      <c r="Q176" s="58">
        <f t="shared" si="34"/>
        <v>168.86000149437422</v>
      </c>
      <c r="R176" s="58">
        <f t="shared" si="35"/>
        <v>18.163569897336373</v>
      </c>
      <c r="S176" s="171">
        <f t="shared" si="36"/>
        <v>0.10756585180974024</v>
      </c>
    </row>
    <row r="177" spans="2:19" ht="15" customHeight="1" x14ac:dyDescent="0.2">
      <c r="E177" s="69">
        <v>20</v>
      </c>
      <c r="F177" s="50">
        <f t="shared" si="30"/>
        <v>252.2</v>
      </c>
      <c r="G177" s="44">
        <f t="shared" si="31"/>
        <v>12.61</v>
      </c>
      <c r="H177" s="61">
        <f t="shared" si="27"/>
        <v>0.32657284083089566</v>
      </c>
      <c r="J177" s="61">
        <v>0.32657284083089566</v>
      </c>
      <c r="K177" s="69">
        <v>20</v>
      </c>
      <c r="L177" s="61">
        <f t="shared" si="32"/>
        <v>0.32657284083089566</v>
      </c>
      <c r="N177" s="72">
        <f t="shared" si="28"/>
        <v>12.609701409679147</v>
      </c>
      <c r="O177" s="72">
        <f t="shared" si="33"/>
        <v>252.19402819358294</v>
      </c>
      <c r="P177" s="137">
        <f t="shared" si="29"/>
        <v>1.1494567803330689</v>
      </c>
      <c r="Q177" s="58">
        <f t="shared" si="34"/>
        <v>289.88613566662303</v>
      </c>
      <c r="R177" s="58">
        <f t="shared" si="35"/>
        <v>37.692107473040096</v>
      </c>
      <c r="S177" s="171">
        <f t="shared" si="36"/>
        <v>0.13002383638100942</v>
      </c>
    </row>
    <row r="178" spans="2:19" ht="15" customHeight="1" x14ac:dyDescent="0.2">
      <c r="E178" s="69">
        <v>30</v>
      </c>
      <c r="F178" s="50">
        <f t="shared" si="30"/>
        <v>340.1</v>
      </c>
      <c r="G178" s="44">
        <f t="shared" si="31"/>
        <v>11.336666666666668</v>
      </c>
      <c r="H178" s="61">
        <f t="shared" si="27"/>
        <v>0.29359614899970293</v>
      </c>
      <c r="J178" s="61">
        <v>0.29359614899970293</v>
      </c>
      <c r="K178" s="69">
        <v>30</v>
      </c>
      <c r="L178" s="61">
        <f t="shared" si="32"/>
        <v>0.29359614899970293</v>
      </c>
      <c r="N178" s="72">
        <f t="shared" si="28"/>
        <v>11.336398227417073</v>
      </c>
      <c r="O178" s="72">
        <f t="shared" si="33"/>
        <v>340.09194682251217</v>
      </c>
      <c r="P178" s="137">
        <f t="shared" si="29"/>
        <v>1.1494589826521611</v>
      </c>
      <c r="Q178" s="58">
        <f t="shared" si="34"/>
        <v>390.9217432027977</v>
      </c>
      <c r="R178" s="58">
        <f t="shared" si="35"/>
        <v>50.829796380285529</v>
      </c>
      <c r="S178" s="171">
        <f t="shared" si="36"/>
        <v>0.13002550322179612</v>
      </c>
    </row>
    <row r="179" spans="2:19" ht="15" customHeight="1" x14ac:dyDescent="0.2">
      <c r="E179" s="69">
        <v>40</v>
      </c>
      <c r="F179" s="50">
        <f t="shared" si="30"/>
        <v>420.4</v>
      </c>
      <c r="G179" s="44">
        <f t="shared" si="31"/>
        <v>10.51</v>
      </c>
      <c r="H179" s="61">
        <f t="shared" si="27"/>
        <v>0.2721871972349495</v>
      </c>
      <c r="J179" s="61">
        <v>0.2721871972349495</v>
      </c>
      <c r="K179" s="69">
        <v>40</v>
      </c>
      <c r="L179" s="61">
        <f t="shared" si="32"/>
        <v>0.2721871972349495</v>
      </c>
      <c r="N179" s="72">
        <f t="shared" si="28"/>
        <v>10.509751135267869</v>
      </c>
      <c r="O179" s="72">
        <f t="shared" si="33"/>
        <v>420.39004541071478</v>
      </c>
      <c r="P179" s="137">
        <f t="shared" si="29"/>
        <v>1.149455280685062</v>
      </c>
      <c r="Q179" s="58">
        <f t="shared" si="34"/>
        <v>483.21955764477912</v>
      </c>
      <c r="R179" s="58">
        <f t="shared" si="35"/>
        <v>62.829512234064339</v>
      </c>
      <c r="S179" s="171">
        <f t="shared" si="36"/>
        <v>0.13002270135814975</v>
      </c>
    </row>
    <row r="180" spans="2:19" ht="15" customHeight="1" thickBot="1" x14ac:dyDescent="0.25">
      <c r="E180" s="70">
        <v>50</v>
      </c>
      <c r="F180" s="54">
        <f t="shared" si="30"/>
        <v>498</v>
      </c>
      <c r="G180" s="45">
        <f t="shared" si="31"/>
        <v>9.9600000000000009</v>
      </c>
      <c r="H180" s="62">
        <f t="shared" si="27"/>
        <v>0.25794333819791604</v>
      </c>
      <c r="J180" s="62">
        <v>0.25794333819791604</v>
      </c>
      <c r="K180" s="70">
        <v>50</v>
      </c>
      <c r="L180" s="62">
        <f t="shared" si="32"/>
        <v>0.25794333819791604</v>
      </c>
      <c r="N180" s="73">
        <f t="shared" si="28"/>
        <v>9.9597641586363448</v>
      </c>
      <c r="O180" s="73">
        <f t="shared" si="33"/>
        <v>497.98820793181721</v>
      </c>
      <c r="P180" s="138">
        <f t="shared" si="29"/>
        <v>1.1494518072289157</v>
      </c>
      <c r="Q180" s="59">
        <f t="shared" si="34"/>
        <v>572.41344558591641</v>
      </c>
      <c r="R180" s="59">
        <f t="shared" si="35"/>
        <v>74.425237654099192</v>
      </c>
      <c r="S180" s="170">
        <f t="shared" si="36"/>
        <v>0.13002007242844951</v>
      </c>
    </row>
    <row r="181" spans="2:19" ht="15" customHeight="1" x14ac:dyDescent="0.2"/>
    <row r="182" spans="2:19" ht="15" customHeight="1" x14ac:dyDescent="0.2"/>
    <row r="183" spans="2:19" ht="15" customHeight="1" x14ac:dyDescent="0.2"/>
    <row r="184" spans="2:19" ht="15" customHeight="1" x14ac:dyDescent="0.2"/>
    <row r="185" spans="2:19" ht="15" customHeight="1" x14ac:dyDescent="0.2"/>
    <row r="186" spans="2:19" ht="15" customHeight="1" x14ac:dyDescent="0.2"/>
    <row r="187" spans="2:19" ht="15" customHeight="1" x14ac:dyDescent="0.2"/>
    <row r="188" spans="2:19" ht="15" customHeight="1" x14ac:dyDescent="0.2"/>
    <row r="189" spans="2:19" ht="15" customHeight="1" x14ac:dyDescent="0.2"/>
    <row r="190" spans="2:19" ht="15" customHeight="1" x14ac:dyDescent="0.2"/>
    <row r="191" spans="2:19" ht="15" customHeight="1" x14ac:dyDescent="0.2">
      <c r="F191" s="41"/>
      <c r="G191" s="41"/>
      <c r="H191" s="41"/>
      <c r="I191" s="41"/>
      <c r="J191" s="41"/>
      <c r="K191" s="41"/>
      <c r="L191" s="41"/>
      <c r="M191" s="41"/>
      <c r="N191" s="41"/>
      <c r="O191" s="41"/>
      <c r="P191" s="41"/>
    </row>
    <row r="192" spans="2:19" ht="15" customHeight="1" x14ac:dyDescent="0.2">
      <c r="B192" s="90"/>
    </row>
    <row r="193" spans="1:15" ht="15" customHeight="1" x14ac:dyDescent="0.2">
      <c r="A193" s="90" t="s">
        <v>95</v>
      </c>
      <c r="B193" s="64" t="s">
        <v>101</v>
      </c>
    </row>
    <row r="194" spans="1:15" ht="15" customHeight="1" x14ac:dyDescent="0.2"/>
    <row r="195" spans="1:15" ht="15" customHeight="1" x14ac:dyDescent="0.2">
      <c r="B195" s="90"/>
    </row>
    <row r="196" spans="1:15" ht="15" customHeight="1" x14ac:dyDescent="0.2">
      <c r="B196" s="64"/>
      <c r="J196" s="64" t="s">
        <v>88</v>
      </c>
    </row>
    <row r="197" spans="1:15" ht="15" customHeight="1" x14ac:dyDescent="0.2">
      <c r="B197" s="90"/>
      <c r="H197" s="251" t="s">
        <v>89</v>
      </c>
    </row>
    <row r="198" spans="1:15" ht="15" customHeight="1" x14ac:dyDescent="0.2">
      <c r="F198" s="117" t="s">
        <v>56</v>
      </c>
      <c r="L198" s="164" t="s">
        <v>90</v>
      </c>
    </row>
    <row r="199" spans="1:15" ht="15" customHeight="1" x14ac:dyDescent="0.2">
      <c r="F199" s="117" t="s">
        <v>35</v>
      </c>
      <c r="H199" s="173" t="s">
        <v>33</v>
      </c>
      <c r="L199" s="65">
        <v>1</v>
      </c>
      <c r="M199" s="52" t="s">
        <v>12</v>
      </c>
      <c r="N199" s="124" t="s">
        <v>27</v>
      </c>
      <c r="O199" s="181" t="s">
        <v>35</v>
      </c>
    </row>
    <row r="200" spans="1:15" ht="15" customHeight="1" x14ac:dyDescent="0.2">
      <c r="B200" s="269">
        <f>D149</f>
        <v>2.46</v>
      </c>
      <c r="C200" s="78" t="s">
        <v>3</v>
      </c>
      <c r="D200" s="10"/>
      <c r="E200" s="3" t="s">
        <v>2</v>
      </c>
      <c r="F200" s="117" t="s">
        <v>72</v>
      </c>
      <c r="G200" s="29" t="s">
        <v>20</v>
      </c>
      <c r="H200" s="4" t="s">
        <v>25</v>
      </c>
      <c r="J200" s="38" t="s">
        <v>60</v>
      </c>
      <c r="K200" s="3" t="s">
        <v>2</v>
      </c>
      <c r="L200" s="4" t="s">
        <v>25</v>
      </c>
      <c r="M200" s="21" t="s">
        <v>13</v>
      </c>
      <c r="N200" s="125" t="s">
        <v>61</v>
      </c>
      <c r="O200" s="21" t="s">
        <v>19</v>
      </c>
    </row>
    <row r="201" spans="1:15" ht="15" customHeight="1" x14ac:dyDescent="0.2">
      <c r="B201" s="270">
        <f>D150</f>
        <v>5</v>
      </c>
      <c r="C201" s="1" t="s">
        <v>0</v>
      </c>
      <c r="D201" s="22"/>
      <c r="E201" s="71">
        <v>1</v>
      </c>
      <c r="F201" s="166">
        <f t="shared" ref="F201:F210" si="37">G129</f>
        <v>0.31</v>
      </c>
      <c r="G201" s="49">
        <f>F201/E201</f>
        <v>0.31</v>
      </c>
      <c r="H201" s="178">
        <f>SQRT(12*32.2*G201^2/(4*$B$202*($B$201*56)*$B$200^2))</f>
        <v>8.0283569117825266E-3</v>
      </c>
      <c r="J201" s="178">
        <v>8.0283569117825266E-3</v>
      </c>
      <c r="K201" s="71">
        <v>1</v>
      </c>
      <c r="L201" s="178">
        <f>J201*$L$199</f>
        <v>8.0283569117825266E-3</v>
      </c>
      <c r="M201" s="5">
        <f>(B201*2.20462*25.4*12)</f>
        <v>3359.8408799999997</v>
      </c>
      <c r="N201" s="74">
        <f>L201*B$200*SQRT(4*B$202*M$201/32.2)/12</f>
        <v>0.30999265955595051</v>
      </c>
      <c r="O201" s="218">
        <f>K201*N201</f>
        <v>0.30999265955595051</v>
      </c>
    </row>
    <row r="202" spans="1:15" ht="15" customHeight="1" x14ac:dyDescent="0.2">
      <c r="B202" s="271">
        <f>D151</f>
        <v>85</v>
      </c>
      <c r="C202" s="77" t="s">
        <v>1</v>
      </c>
      <c r="D202" s="17"/>
      <c r="E202" s="70">
        <v>2</v>
      </c>
      <c r="F202" s="167">
        <f t="shared" si="37"/>
        <v>1.3859999999999999</v>
      </c>
      <c r="G202" s="48">
        <f t="shared" ref="G202:G210" si="38">F202/E202</f>
        <v>0.69299999999999995</v>
      </c>
      <c r="H202" s="179">
        <f t="shared" ref="H202:H210" si="39">SQRT(12*32.2*G202^2/(4*$B$202*($B$201*56)*$B$200^2))</f>
        <v>1.7947262386662229E-2</v>
      </c>
      <c r="J202" s="179">
        <v>1.7947262386662229E-2</v>
      </c>
      <c r="K202" s="70">
        <v>2</v>
      </c>
      <c r="L202" s="179">
        <f t="shared" ref="L202:L210" si="40">J202*$L$199</f>
        <v>1.7947262386662229E-2</v>
      </c>
      <c r="N202" s="73">
        <f t="shared" ref="N202:N210" si="41">L202*B$200*SQRT(4*B$202*M$201/32.2)/12</f>
        <v>0.69298359055572156</v>
      </c>
      <c r="O202" s="219">
        <f t="shared" ref="O202" si="42">K202*N202</f>
        <v>1.3859671811114431</v>
      </c>
    </row>
    <row r="203" spans="1:15" ht="15" customHeight="1" x14ac:dyDescent="0.2">
      <c r="E203" s="69">
        <v>3</v>
      </c>
      <c r="F203" s="168">
        <f t="shared" si="37"/>
        <v>2.956</v>
      </c>
      <c r="G203" s="47">
        <f t="shared" si="38"/>
        <v>0.98533333333333328</v>
      </c>
      <c r="H203" s="180">
        <f t="shared" si="39"/>
        <v>2.5518089280891557E-2</v>
      </c>
      <c r="J203" s="180">
        <v>2.5518089280891557E-2</v>
      </c>
      <c r="K203" s="69">
        <v>3</v>
      </c>
      <c r="L203" s="180">
        <f t="shared" si="40"/>
        <v>2.5518089280891557E-2</v>
      </c>
      <c r="N203" s="72">
        <f t="shared" si="41"/>
        <v>0.98531000177138672</v>
      </c>
      <c r="O203" s="220">
        <f>K203*N203</f>
        <v>2.9559300053141602</v>
      </c>
    </row>
    <row r="204" spans="1:15" ht="15" customHeight="1" x14ac:dyDescent="0.2">
      <c r="E204" s="69">
        <v>4</v>
      </c>
      <c r="F204" s="168">
        <f t="shared" si="37"/>
        <v>4.9119999999999999</v>
      </c>
      <c r="G204" s="47">
        <f t="shared" si="38"/>
        <v>1.228</v>
      </c>
      <c r="H204" s="180">
        <f t="shared" si="39"/>
        <v>3.1802652540867553E-2</v>
      </c>
      <c r="J204" s="180">
        <v>3.1802652540867553E-2</v>
      </c>
      <c r="K204" s="69">
        <v>4</v>
      </c>
      <c r="L204" s="180">
        <f t="shared" si="40"/>
        <v>3.1802652540867553E-2</v>
      </c>
      <c r="N204" s="72">
        <f t="shared" si="41"/>
        <v>1.227970922370023</v>
      </c>
      <c r="O204" s="220">
        <f t="shared" ref="O204:O210" si="43">K204*N204</f>
        <v>4.9118836894800921</v>
      </c>
    </row>
    <row r="205" spans="1:15" ht="15" customHeight="1" x14ac:dyDescent="0.2">
      <c r="E205" s="70">
        <v>5</v>
      </c>
      <c r="F205" s="167">
        <f t="shared" si="37"/>
        <v>7.3339999999999996</v>
      </c>
      <c r="G205" s="48">
        <f t="shared" si="38"/>
        <v>1.4667999999999999</v>
      </c>
      <c r="H205" s="179">
        <f t="shared" si="39"/>
        <v>3.7987077155492287E-2</v>
      </c>
      <c r="J205" s="179">
        <v>3.7987077155492287E-2</v>
      </c>
      <c r="K205" s="70">
        <v>5</v>
      </c>
      <c r="L205" s="179">
        <f t="shared" si="40"/>
        <v>3.7987077155492287E-2</v>
      </c>
      <c r="N205" s="73">
        <f t="shared" si="41"/>
        <v>1.4667652678602199</v>
      </c>
      <c r="O205" s="219">
        <f t="shared" si="43"/>
        <v>7.3338263393010994</v>
      </c>
    </row>
    <row r="206" spans="1:15" ht="15" customHeight="1" x14ac:dyDescent="0.2">
      <c r="E206" s="69">
        <v>10</v>
      </c>
      <c r="F206" s="168">
        <f t="shared" si="37"/>
        <v>18.164000000000001</v>
      </c>
      <c r="G206" s="47">
        <f t="shared" si="38"/>
        <v>1.8164000000000002</v>
      </c>
      <c r="H206" s="180">
        <f t="shared" si="39"/>
        <v>4.7040991917941234E-2</v>
      </c>
      <c r="J206" s="180">
        <v>4.7040991917941234E-2</v>
      </c>
      <c r="K206" s="75">
        <v>10</v>
      </c>
      <c r="L206" s="180">
        <f t="shared" si="40"/>
        <v>4.7040991917941234E-2</v>
      </c>
      <c r="M206" s="41"/>
      <c r="N206" s="76">
        <f t="shared" si="41"/>
        <v>1.8163569897336407</v>
      </c>
      <c r="O206" s="221">
        <f t="shared" si="43"/>
        <v>18.163569897336409</v>
      </c>
    </row>
    <row r="207" spans="1:15" ht="15" customHeight="1" x14ac:dyDescent="0.2">
      <c r="E207" s="69">
        <v>20</v>
      </c>
      <c r="F207" s="168">
        <f t="shared" si="37"/>
        <v>37.692999999999998</v>
      </c>
      <c r="G207" s="47">
        <f t="shared" si="38"/>
        <v>1.8846499999999999</v>
      </c>
      <c r="H207" s="180">
        <f t="shared" si="39"/>
        <v>4.8808525334809477E-2</v>
      </c>
      <c r="J207" s="180">
        <v>4.8808525334809477E-2</v>
      </c>
      <c r="K207" s="69">
        <v>20</v>
      </c>
      <c r="L207" s="180">
        <f t="shared" si="40"/>
        <v>4.8808525334809477E-2</v>
      </c>
      <c r="N207" s="72">
        <f t="shared" si="41"/>
        <v>1.8846053736520068</v>
      </c>
      <c r="O207" s="220">
        <f t="shared" si="43"/>
        <v>37.692107473040139</v>
      </c>
    </row>
    <row r="208" spans="1:15" ht="15" customHeight="1" x14ac:dyDescent="0.2">
      <c r="E208" s="69">
        <v>30</v>
      </c>
      <c r="F208" s="168">
        <f t="shared" si="37"/>
        <v>50.831000000000003</v>
      </c>
      <c r="G208" s="47">
        <f t="shared" si="38"/>
        <v>1.6943666666666668</v>
      </c>
      <c r="H208" s="180">
        <f t="shared" si="39"/>
        <v>4.3880581740087923E-2</v>
      </c>
      <c r="J208" s="180">
        <v>4.3880581740087923E-2</v>
      </c>
      <c r="K208" s="69">
        <v>30</v>
      </c>
      <c r="L208" s="180">
        <f t="shared" si="40"/>
        <v>4.3880581740087923E-2</v>
      </c>
      <c r="N208" s="72">
        <f t="shared" si="41"/>
        <v>1.6943265460095187</v>
      </c>
      <c r="O208" s="220">
        <f t="shared" si="43"/>
        <v>50.829796380285558</v>
      </c>
    </row>
    <row r="209" spans="1:16" ht="15" customHeight="1" x14ac:dyDescent="0.2">
      <c r="E209" s="69">
        <v>40</v>
      </c>
      <c r="F209" s="168">
        <f t="shared" si="37"/>
        <v>62.831000000000003</v>
      </c>
      <c r="G209" s="47">
        <f t="shared" si="38"/>
        <v>1.570775</v>
      </c>
      <c r="H209" s="180">
        <f t="shared" si="39"/>
        <v>4.0679813961629674E-2</v>
      </c>
      <c r="J209" s="180">
        <v>4.0679813961629674E-2</v>
      </c>
      <c r="K209" s="69">
        <v>40</v>
      </c>
      <c r="L209" s="180">
        <f t="shared" si="40"/>
        <v>4.0679813961629674E-2</v>
      </c>
      <c r="N209" s="72">
        <f t="shared" si="41"/>
        <v>1.570737805851607</v>
      </c>
      <c r="O209" s="220">
        <f t="shared" si="43"/>
        <v>62.829512234064282</v>
      </c>
    </row>
    <row r="210" spans="1:16" ht="15" customHeight="1" x14ac:dyDescent="0.2">
      <c r="E210" s="70">
        <v>50</v>
      </c>
      <c r="F210" s="167">
        <f t="shared" si="37"/>
        <v>74.427000000000007</v>
      </c>
      <c r="G210" s="48">
        <f t="shared" si="38"/>
        <v>1.4885400000000002</v>
      </c>
      <c r="H210" s="179">
        <f t="shared" si="39"/>
        <v>3.8550098056337946E-2</v>
      </c>
      <c r="J210" s="179">
        <v>3.8550098056337946E-2</v>
      </c>
      <c r="K210" s="70">
        <v>50</v>
      </c>
      <c r="L210" s="179">
        <f t="shared" si="40"/>
        <v>3.8550098056337946E-2</v>
      </c>
      <c r="N210" s="73">
        <f t="shared" si="41"/>
        <v>1.4885047530819826</v>
      </c>
      <c r="O210" s="219">
        <f t="shared" si="43"/>
        <v>74.425237654099135</v>
      </c>
    </row>
    <row r="211" spans="1:16" ht="15" customHeight="1" x14ac:dyDescent="0.2"/>
    <row r="212" spans="1:16" ht="15" customHeight="1" x14ac:dyDescent="0.2">
      <c r="O212" s="37"/>
    </row>
    <row r="213" spans="1:16" ht="15" customHeight="1" x14ac:dyDescent="0.2">
      <c r="O213" s="37"/>
    </row>
    <row r="214" spans="1:16" ht="15" customHeight="1" x14ac:dyDescent="0.2">
      <c r="O214" s="37"/>
    </row>
    <row r="215" spans="1:16" ht="15" customHeight="1" x14ac:dyDescent="0.2">
      <c r="O215" s="37"/>
    </row>
    <row r="216" spans="1:16" ht="15" customHeight="1" x14ac:dyDescent="0.2">
      <c r="O216" s="37"/>
    </row>
    <row r="217" spans="1:16" ht="15" customHeight="1" x14ac:dyDescent="0.2">
      <c r="A217" s="51"/>
      <c r="B217" s="9"/>
      <c r="C217" s="9"/>
      <c r="D217" s="9"/>
      <c r="E217" s="9"/>
      <c r="F217" s="9"/>
      <c r="G217" s="9"/>
      <c r="H217" s="9"/>
      <c r="I217" s="9"/>
      <c r="J217" s="9"/>
      <c r="K217" s="9"/>
      <c r="L217" s="9"/>
      <c r="M217" s="9"/>
      <c r="N217" s="9"/>
      <c r="O217" s="272"/>
      <c r="P217" s="10"/>
    </row>
    <row r="218" spans="1:16" ht="15" customHeight="1" x14ac:dyDescent="0.2">
      <c r="A218" s="35"/>
      <c r="B218" s="1"/>
      <c r="C218" s="1"/>
      <c r="D218" s="1"/>
      <c r="E218" s="1"/>
      <c r="F218" s="1"/>
      <c r="G218" s="1"/>
      <c r="H218" s="1"/>
      <c r="I218" s="1"/>
      <c r="J218" s="1"/>
      <c r="K218" s="1"/>
      <c r="L218" s="1"/>
      <c r="M218" s="1"/>
      <c r="N218" s="1"/>
      <c r="O218" s="298" t="s">
        <v>150</v>
      </c>
      <c r="P218" s="299">
        <v>1</v>
      </c>
    </row>
    <row r="219" spans="1:16" ht="15" customHeight="1" x14ac:dyDescent="0.2">
      <c r="A219" s="35"/>
      <c r="B219" s="1"/>
      <c r="C219" s="1"/>
      <c r="D219" s="1"/>
      <c r="E219" s="1"/>
      <c r="F219" s="1"/>
      <c r="G219" s="1"/>
      <c r="H219" s="1"/>
      <c r="I219" s="1"/>
      <c r="J219" s="1"/>
      <c r="K219" s="1"/>
      <c r="L219" s="1"/>
      <c r="M219" s="1"/>
      <c r="N219" s="1"/>
      <c r="O219" s="273"/>
      <c r="P219" s="22"/>
    </row>
    <row r="220" spans="1:16" ht="15" customHeight="1" x14ac:dyDescent="0.2">
      <c r="A220" s="274" t="s">
        <v>98</v>
      </c>
      <c r="B220" s="275" t="s">
        <v>99</v>
      </c>
      <c r="C220" s="1"/>
      <c r="D220" s="1"/>
      <c r="E220" s="1"/>
      <c r="F220" s="1"/>
      <c r="G220" s="1"/>
      <c r="H220" s="1"/>
      <c r="I220" s="1"/>
      <c r="J220" s="1"/>
      <c r="K220" s="276" t="s">
        <v>121</v>
      </c>
      <c r="L220" s="1"/>
      <c r="M220" s="1"/>
      <c r="N220" s="1"/>
      <c r="O220" s="273" t="s">
        <v>122</v>
      </c>
      <c r="P220" s="22"/>
    </row>
    <row r="221" spans="1:16" ht="15" customHeight="1" x14ac:dyDescent="0.2">
      <c r="A221" s="35"/>
      <c r="B221" s="275" t="s">
        <v>49</v>
      </c>
      <c r="C221" s="1"/>
      <c r="D221" s="1"/>
      <c r="E221" s="1"/>
      <c r="F221" s="1"/>
      <c r="G221" s="1"/>
      <c r="H221" s="1"/>
      <c r="I221" s="1"/>
      <c r="J221" s="1"/>
      <c r="K221" s="1"/>
      <c r="L221" s="1"/>
      <c r="M221" s="1"/>
      <c r="N221" s="1"/>
      <c r="O221" s="273"/>
      <c r="P221" s="22"/>
    </row>
    <row r="222" spans="1:16" ht="15" customHeight="1" x14ac:dyDescent="0.2">
      <c r="A222" s="35"/>
      <c r="B222" s="277" t="s">
        <v>148</v>
      </c>
      <c r="C222" s="1"/>
      <c r="D222" s="1"/>
      <c r="E222" s="1"/>
      <c r="F222" s="1"/>
      <c r="G222" s="1"/>
      <c r="H222" s="1"/>
      <c r="I222" s="1"/>
      <c r="J222" s="1"/>
      <c r="K222" s="1"/>
      <c r="L222" s="1"/>
      <c r="M222" s="1"/>
      <c r="N222" s="1"/>
      <c r="O222" s="1"/>
      <c r="P222" s="22"/>
    </row>
    <row r="223" spans="1:16" ht="15" customHeight="1" x14ac:dyDescent="0.2">
      <c r="A223" s="11"/>
      <c r="B223" s="279" t="s">
        <v>124</v>
      </c>
      <c r="C223" s="275" t="s">
        <v>123</v>
      </c>
      <c r="D223" s="1"/>
      <c r="E223" s="1"/>
      <c r="F223" s="1"/>
      <c r="G223" s="1"/>
      <c r="H223" s="1"/>
      <c r="I223" s="1"/>
      <c r="J223" s="1"/>
      <c r="K223" s="1"/>
      <c r="L223" s="1"/>
      <c r="M223" s="1"/>
      <c r="N223" s="1"/>
      <c r="O223" s="1"/>
      <c r="P223" s="22"/>
    </row>
    <row r="224" spans="1:16" ht="15" customHeight="1" x14ac:dyDescent="0.2">
      <c r="A224" s="11"/>
      <c r="B224" s="279"/>
      <c r="C224" s="275"/>
      <c r="D224" s="1"/>
      <c r="E224" s="1"/>
      <c r="F224" s="1"/>
      <c r="G224" s="1"/>
      <c r="H224" s="1"/>
      <c r="I224" s="1"/>
      <c r="J224" s="1"/>
      <c r="K224" s="1"/>
      <c r="L224" s="1"/>
      <c r="M224" s="1"/>
      <c r="N224" s="1"/>
      <c r="O224" s="1"/>
      <c r="P224" s="22"/>
    </row>
    <row r="225" spans="1:16" ht="15" customHeight="1" x14ac:dyDescent="0.2">
      <c r="A225" s="11"/>
      <c r="B225" s="279"/>
      <c r="C225" s="275"/>
      <c r="D225" s="1"/>
      <c r="E225" s="1"/>
      <c r="F225" s="1"/>
      <c r="G225" s="1"/>
      <c r="H225" s="1"/>
      <c r="I225" s="1"/>
      <c r="J225" s="1"/>
      <c r="K225" s="1"/>
      <c r="L225" s="1"/>
      <c r="M225" s="1"/>
      <c r="N225" s="1"/>
      <c r="O225" s="1"/>
      <c r="P225" s="22"/>
    </row>
    <row r="226" spans="1:16" ht="15" customHeight="1" x14ac:dyDescent="0.2">
      <c r="A226" s="11"/>
      <c r="B226" s="279"/>
      <c r="C226" s="275"/>
      <c r="D226" s="1"/>
      <c r="E226" s="1"/>
      <c r="F226" s="1"/>
      <c r="G226" s="1"/>
      <c r="H226" s="1"/>
      <c r="I226" s="1"/>
      <c r="J226" s="1"/>
      <c r="K226" s="1"/>
      <c r="L226" s="1"/>
      <c r="M226" s="1"/>
      <c r="N226" s="1"/>
      <c r="O226" s="1"/>
      <c r="P226" s="22"/>
    </row>
    <row r="227" spans="1:16" ht="15" customHeight="1" x14ac:dyDescent="0.2">
      <c r="A227" s="11"/>
      <c r="B227" s="279"/>
      <c r="C227" s="275"/>
      <c r="D227" s="1"/>
      <c r="E227" s="1"/>
      <c r="F227" s="1"/>
      <c r="G227" s="1"/>
      <c r="H227" s="1"/>
      <c r="I227" s="1"/>
      <c r="J227" s="1"/>
      <c r="K227" s="1"/>
      <c r="L227" s="1"/>
      <c r="M227" s="1"/>
      <c r="N227" s="1"/>
      <c r="O227" s="1"/>
      <c r="P227" s="22"/>
    </row>
    <row r="228" spans="1:16" ht="15" customHeight="1" x14ac:dyDescent="0.2">
      <c r="A228" s="35"/>
      <c r="B228" s="1"/>
      <c r="C228" s="1"/>
      <c r="D228" s="1"/>
      <c r="E228" s="1"/>
      <c r="F228" s="1"/>
      <c r="G228" s="1"/>
      <c r="H228" s="101" t="str">
        <f>J99</f>
        <v xml:space="preserve"> average</v>
      </c>
      <c r="I228" s="1"/>
      <c r="J228" s="1"/>
      <c r="K228" s="1"/>
      <c r="L228" s="1"/>
      <c r="M228" s="1"/>
      <c r="N228" s="1"/>
      <c r="O228" s="1"/>
      <c r="P228" s="22"/>
    </row>
    <row r="229" spans="1:16" ht="15" customHeight="1" x14ac:dyDescent="0.2">
      <c r="A229" s="300" t="s">
        <v>151</v>
      </c>
      <c r="B229" s="366">
        <f>D150</f>
        <v>5</v>
      </c>
      <c r="C229" s="101" t="s">
        <v>56</v>
      </c>
      <c r="D229" s="89" t="s">
        <v>56</v>
      </c>
      <c r="E229" s="91" t="s">
        <v>56</v>
      </c>
      <c r="F229" s="193" t="s">
        <v>33</v>
      </c>
      <c r="G229" s="199" t="s">
        <v>56</v>
      </c>
      <c r="H229" s="101" t="s">
        <v>47</v>
      </c>
      <c r="I229" s="101" t="s">
        <v>22</v>
      </c>
      <c r="J229" s="101" t="s">
        <v>22</v>
      </c>
      <c r="K229" s="200" t="s">
        <v>47</v>
      </c>
      <c r="L229" s="103" t="s">
        <v>40</v>
      </c>
      <c r="M229" s="103" t="s">
        <v>33</v>
      </c>
      <c r="N229" s="103" t="s">
        <v>35</v>
      </c>
      <c r="O229" s="1"/>
      <c r="P229" s="103" t="s">
        <v>40</v>
      </c>
    </row>
    <row r="230" spans="1:16" ht="15" customHeight="1" x14ac:dyDescent="0.2">
      <c r="A230" s="35"/>
      <c r="B230" s="107"/>
      <c r="C230" s="187" t="s">
        <v>40</v>
      </c>
      <c r="D230" s="185" t="s">
        <v>41</v>
      </c>
      <c r="E230" s="117" t="s">
        <v>32</v>
      </c>
      <c r="F230" s="194" t="s">
        <v>50</v>
      </c>
      <c r="G230" s="104" t="s">
        <v>33</v>
      </c>
      <c r="H230" s="102" t="s">
        <v>35</v>
      </c>
      <c r="I230" s="102" t="s">
        <v>37</v>
      </c>
      <c r="J230" s="102" t="s">
        <v>38</v>
      </c>
      <c r="K230" s="201" t="s">
        <v>28</v>
      </c>
      <c r="L230" s="104" t="s">
        <v>39</v>
      </c>
      <c r="M230" s="104" t="s">
        <v>39</v>
      </c>
      <c r="N230" s="104" t="s">
        <v>39</v>
      </c>
      <c r="O230" s="1"/>
      <c r="P230" s="104" t="s">
        <v>39</v>
      </c>
    </row>
    <row r="231" spans="1:16" ht="15" customHeight="1" x14ac:dyDescent="0.2">
      <c r="A231" s="35"/>
      <c r="B231" s="107" t="s">
        <v>21</v>
      </c>
      <c r="C231" s="188" t="s">
        <v>53</v>
      </c>
      <c r="D231" s="186" t="s">
        <v>53</v>
      </c>
      <c r="E231" s="113" t="s">
        <v>53</v>
      </c>
      <c r="F231" s="195" t="s">
        <v>54</v>
      </c>
      <c r="G231" s="188" t="s">
        <v>53</v>
      </c>
      <c r="H231" s="188" t="s">
        <v>53</v>
      </c>
      <c r="I231" s="188" t="s">
        <v>53</v>
      </c>
      <c r="J231" s="188" t="s">
        <v>53</v>
      </c>
      <c r="K231" s="202" t="s">
        <v>118</v>
      </c>
      <c r="L231" s="188" t="s">
        <v>53</v>
      </c>
      <c r="M231" s="188" t="s">
        <v>53</v>
      </c>
      <c r="N231" s="188" t="s">
        <v>53</v>
      </c>
      <c r="O231" s="1"/>
      <c r="P231" s="104" t="s">
        <v>51</v>
      </c>
    </row>
    <row r="232" spans="1:16" ht="15" customHeight="1" x14ac:dyDescent="0.2">
      <c r="A232" s="35"/>
      <c r="B232" s="107">
        <v>1</v>
      </c>
      <c r="C232" s="189">
        <f t="shared" ref="C232:C241" si="44">C129</f>
        <v>42.41</v>
      </c>
      <c r="D232" s="222">
        <f t="shared" ref="D232:E232" si="45">D129</f>
        <v>115.41</v>
      </c>
      <c r="E232" s="196">
        <f t="shared" si="45"/>
        <v>22.61</v>
      </c>
      <c r="F232" s="196">
        <f>G232+J232</f>
        <v>34.299999999999997</v>
      </c>
      <c r="G232" s="189">
        <f t="shared" ref="G232:H241" si="46">F129</f>
        <v>22.3</v>
      </c>
      <c r="H232" s="225">
        <f t="shared" si="46"/>
        <v>0.31</v>
      </c>
      <c r="I232" s="229">
        <f t="shared" ref="I232:J241" si="47">J129</f>
        <v>80.8</v>
      </c>
      <c r="J232" s="229">
        <f t="shared" si="47"/>
        <v>12</v>
      </c>
      <c r="K232" s="294">
        <f>H232/E232</f>
        <v>1.3710747456877488E-2</v>
      </c>
      <c r="L232" s="233">
        <f t="shared" ref="L232:L241" si="48">F149</f>
        <v>1.0983570292161815</v>
      </c>
      <c r="M232" s="233">
        <f t="shared" ref="M232:M241" si="49">H171</f>
        <v>0.57752373913790434</v>
      </c>
      <c r="N232" s="233">
        <f t="shared" ref="N232:N241" si="50">H201</f>
        <v>8.0283569117825266E-3</v>
      </c>
      <c r="O232" s="1"/>
      <c r="P232" s="237">
        <f>L232</f>
        <v>1.0983570292161815</v>
      </c>
    </row>
    <row r="233" spans="1:16" ht="15" customHeight="1" x14ac:dyDescent="0.2">
      <c r="A233" s="35"/>
      <c r="B233" s="107">
        <v>2</v>
      </c>
      <c r="C233" s="190">
        <f t="shared" si="44"/>
        <v>64.986000000000018</v>
      </c>
      <c r="D233" s="223">
        <f t="shared" ref="D233:E241" si="51">D130</f>
        <v>137.98600000000002</v>
      </c>
      <c r="E233" s="197">
        <f t="shared" si="51"/>
        <v>46.186</v>
      </c>
      <c r="F233" s="197">
        <f t="shared" ref="F233:F241" si="52">G233+J233</f>
        <v>56.099999999999994</v>
      </c>
      <c r="G233" s="190">
        <f t="shared" si="46"/>
        <v>44.8</v>
      </c>
      <c r="H233" s="226">
        <f t="shared" si="46"/>
        <v>1.3859999999999999</v>
      </c>
      <c r="I233" s="230">
        <f t="shared" si="47"/>
        <v>80.5</v>
      </c>
      <c r="J233" s="230">
        <f t="shared" si="47"/>
        <v>11.3</v>
      </c>
      <c r="K233" s="295">
        <f t="shared" ref="K233:K241" si="53">H233/E233</f>
        <v>3.000909366474689E-2</v>
      </c>
      <c r="L233" s="234">
        <f t="shared" si="48"/>
        <v>0.84152122023865594</v>
      </c>
      <c r="M233" s="234">
        <f t="shared" si="49"/>
        <v>0.58011353169009217</v>
      </c>
      <c r="N233" s="234">
        <f t="shared" si="50"/>
        <v>1.7947262386662229E-2</v>
      </c>
      <c r="O233" s="1"/>
      <c r="P233" s="238">
        <f t="shared" ref="P233:P241" si="54">L233</f>
        <v>0.84152122023865594</v>
      </c>
    </row>
    <row r="234" spans="1:16" ht="15" customHeight="1" x14ac:dyDescent="0.2">
      <c r="A234" s="35"/>
      <c r="B234" s="107">
        <v>3</v>
      </c>
      <c r="C234" s="191">
        <f t="shared" si="44"/>
        <v>84.456000000000017</v>
      </c>
      <c r="D234" s="224">
        <f t="shared" si="51"/>
        <v>157.45600000000002</v>
      </c>
      <c r="E234" s="198">
        <f t="shared" si="51"/>
        <v>64.956000000000003</v>
      </c>
      <c r="F234" s="198">
        <f t="shared" si="52"/>
        <v>74.5</v>
      </c>
      <c r="G234" s="191">
        <f t="shared" si="46"/>
        <v>62</v>
      </c>
      <c r="H234" s="227">
        <f t="shared" si="46"/>
        <v>2.956</v>
      </c>
      <c r="I234" s="231">
        <f t="shared" si="47"/>
        <v>80</v>
      </c>
      <c r="J234" s="231">
        <f t="shared" si="47"/>
        <v>12.5</v>
      </c>
      <c r="K234" s="296">
        <f t="shared" si="53"/>
        <v>4.5507728308393371E-2</v>
      </c>
      <c r="L234" s="235">
        <f t="shared" si="48"/>
        <v>0.72909566344008381</v>
      </c>
      <c r="M234" s="235">
        <f t="shared" si="49"/>
        <v>0.53522379411883514</v>
      </c>
      <c r="N234" s="235">
        <f t="shared" si="50"/>
        <v>2.5518089280891557E-2</v>
      </c>
      <c r="O234" s="1"/>
      <c r="P234" s="239">
        <f t="shared" si="54"/>
        <v>0.72909566344008381</v>
      </c>
    </row>
    <row r="235" spans="1:16" ht="15" customHeight="1" x14ac:dyDescent="0.2">
      <c r="A235" s="35"/>
      <c r="B235" s="107">
        <v>4</v>
      </c>
      <c r="C235" s="191">
        <f t="shared" si="44"/>
        <v>101.51200000000003</v>
      </c>
      <c r="D235" s="224">
        <f t="shared" si="51"/>
        <v>174.51200000000003</v>
      </c>
      <c r="E235" s="198">
        <f t="shared" si="51"/>
        <v>80.412000000000006</v>
      </c>
      <c r="F235" s="198">
        <f t="shared" si="52"/>
        <v>89.9</v>
      </c>
      <c r="G235" s="191">
        <f t="shared" si="46"/>
        <v>75.5</v>
      </c>
      <c r="H235" s="227">
        <f t="shared" si="46"/>
        <v>4.9119999999999999</v>
      </c>
      <c r="I235" s="231">
        <f t="shared" si="47"/>
        <v>79.7</v>
      </c>
      <c r="J235" s="231">
        <f t="shared" si="47"/>
        <v>14.4</v>
      </c>
      <c r="K235" s="296">
        <f t="shared" si="53"/>
        <v>6.1085410137790376E-2</v>
      </c>
      <c r="L235" s="235">
        <f t="shared" si="48"/>
        <v>0.65725311689338028</v>
      </c>
      <c r="M235" s="235">
        <f t="shared" si="49"/>
        <v>0.48882334422546836</v>
      </c>
      <c r="N235" s="235">
        <f t="shared" si="50"/>
        <v>3.1802652540867553E-2</v>
      </c>
      <c r="O235" s="1"/>
      <c r="P235" s="239">
        <f t="shared" si="54"/>
        <v>0.65725311689338028</v>
      </c>
    </row>
    <row r="236" spans="1:16" ht="15" customHeight="1" x14ac:dyDescent="0.2">
      <c r="A236" s="35"/>
      <c r="B236" s="107">
        <v>5</v>
      </c>
      <c r="C236" s="190">
        <f t="shared" si="44"/>
        <v>117.334</v>
      </c>
      <c r="D236" s="223">
        <f t="shared" si="51"/>
        <v>190.334</v>
      </c>
      <c r="E236" s="197">
        <f t="shared" si="51"/>
        <v>98.433999999999997</v>
      </c>
      <c r="F236" s="197">
        <f t="shared" si="52"/>
        <v>103.39999999999999</v>
      </c>
      <c r="G236" s="190">
        <f t="shared" si="46"/>
        <v>91.1</v>
      </c>
      <c r="H236" s="226">
        <f t="shared" si="46"/>
        <v>7.3339999999999996</v>
      </c>
      <c r="I236" s="230">
        <f t="shared" si="47"/>
        <v>79.599999999999994</v>
      </c>
      <c r="J236" s="230">
        <f t="shared" si="47"/>
        <v>12.3</v>
      </c>
      <c r="K236" s="295">
        <f t="shared" si="53"/>
        <v>7.4506776113944365E-2</v>
      </c>
      <c r="L236" s="234">
        <f t="shared" si="48"/>
        <v>0.60775582959703578</v>
      </c>
      <c r="M236" s="234">
        <f t="shared" si="49"/>
        <v>0.47186020300863751</v>
      </c>
      <c r="N236" s="234">
        <f t="shared" si="50"/>
        <v>3.7987077155492287E-2</v>
      </c>
      <c r="O236" s="1"/>
      <c r="P236" s="238">
        <f t="shared" si="54"/>
        <v>0.60775582959703578</v>
      </c>
    </row>
    <row r="237" spans="1:16" ht="15" customHeight="1" x14ac:dyDescent="0.2">
      <c r="A237" s="35"/>
      <c r="B237" s="107">
        <v>10</v>
      </c>
      <c r="C237" s="191">
        <f t="shared" si="44"/>
        <v>187.16399999999999</v>
      </c>
      <c r="D237" s="224">
        <f t="shared" si="51"/>
        <v>260.16399999999999</v>
      </c>
      <c r="E237" s="198">
        <f t="shared" si="51"/>
        <v>168.86399999999998</v>
      </c>
      <c r="F237" s="198">
        <f t="shared" si="52"/>
        <v>162.29999999999998</v>
      </c>
      <c r="G237" s="191">
        <f t="shared" si="46"/>
        <v>150.69999999999999</v>
      </c>
      <c r="H237" s="227">
        <f t="shared" si="46"/>
        <v>18.164000000000001</v>
      </c>
      <c r="I237" s="231">
        <f t="shared" si="47"/>
        <v>79.7</v>
      </c>
      <c r="J237" s="231">
        <f t="shared" si="47"/>
        <v>11.6</v>
      </c>
      <c r="K237" s="296">
        <f t="shared" si="53"/>
        <v>0.1075658518097404</v>
      </c>
      <c r="L237" s="235">
        <f t="shared" si="48"/>
        <v>0.48472741102621414</v>
      </c>
      <c r="M237" s="235">
        <f t="shared" si="49"/>
        <v>0.39028173761471824</v>
      </c>
      <c r="N237" s="235">
        <f t="shared" si="50"/>
        <v>4.7040991917941234E-2</v>
      </c>
      <c r="O237" s="1"/>
      <c r="P237" s="239">
        <f t="shared" si="54"/>
        <v>0.48472741102621414</v>
      </c>
    </row>
    <row r="238" spans="1:16" ht="15" customHeight="1" x14ac:dyDescent="0.2">
      <c r="A238" s="35"/>
      <c r="B238" s="107">
        <v>20</v>
      </c>
      <c r="C238" s="191">
        <f t="shared" si="44"/>
        <v>307.79299999999995</v>
      </c>
      <c r="D238" s="224">
        <f t="shared" si="51"/>
        <v>380.79299999999995</v>
      </c>
      <c r="E238" s="198">
        <f t="shared" si="51"/>
        <v>289.89299999999997</v>
      </c>
      <c r="F238" s="198">
        <f t="shared" si="52"/>
        <v>263.5</v>
      </c>
      <c r="G238" s="191">
        <f t="shared" si="46"/>
        <v>252.2</v>
      </c>
      <c r="H238" s="227">
        <f t="shared" si="46"/>
        <v>37.692999999999998</v>
      </c>
      <c r="I238" s="231">
        <f t="shared" si="47"/>
        <v>79.599999999999994</v>
      </c>
      <c r="J238" s="231">
        <f t="shared" si="47"/>
        <v>11.3</v>
      </c>
      <c r="K238" s="296">
        <f t="shared" si="53"/>
        <v>0.13002383638100956</v>
      </c>
      <c r="L238" s="235">
        <f t="shared" si="48"/>
        <v>0.3985694471746476</v>
      </c>
      <c r="M238" s="235">
        <f t="shared" si="49"/>
        <v>0.32657284083089566</v>
      </c>
      <c r="N238" s="235">
        <f t="shared" si="50"/>
        <v>4.8808525334809477E-2</v>
      </c>
      <c r="O238" s="1"/>
      <c r="P238" s="239">
        <f t="shared" si="54"/>
        <v>0.3985694471746476</v>
      </c>
    </row>
    <row r="239" spans="1:16" ht="15" customHeight="1" x14ac:dyDescent="0.2">
      <c r="A239" s="35"/>
      <c r="B239" s="107">
        <v>30</v>
      </c>
      <c r="C239" s="191">
        <f t="shared" si="44"/>
        <v>411.43100000000004</v>
      </c>
      <c r="D239" s="224">
        <f t="shared" si="51"/>
        <v>484.43100000000004</v>
      </c>
      <c r="E239" s="198">
        <f t="shared" si="51"/>
        <v>390.93100000000004</v>
      </c>
      <c r="F239" s="198">
        <f t="shared" si="52"/>
        <v>353.6</v>
      </c>
      <c r="G239" s="191">
        <f t="shared" si="46"/>
        <v>340.1</v>
      </c>
      <c r="H239" s="227">
        <f t="shared" si="46"/>
        <v>50.831000000000003</v>
      </c>
      <c r="I239" s="231">
        <f t="shared" si="47"/>
        <v>80</v>
      </c>
      <c r="J239" s="231">
        <f t="shared" si="47"/>
        <v>13.5</v>
      </c>
      <c r="K239" s="296">
        <f t="shared" si="53"/>
        <v>0.13002550322179618</v>
      </c>
      <c r="L239" s="235">
        <f t="shared" si="48"/>
        <v>0.35518205681635057</v>
      </c>
      <c r="M239" s="235">
        <f t="shared" si="49"/>
        <v>0.29359614899970293</v>
      </c>
      <c r="N239" s="235">
        <f t="shared" si="50"/>
        <v>4.3880581740087923E-2</v>
      </c>
      <c r="O239" s="1"/>
      <c r="P239" s="239">
        <f t="shared" si="54"/>
        <v>0.35518205681635057</v>
      </c>
    </row>
    <row r="240" spans="1:16" ht="15" customHeight="1" x14ac:dyDescent="0.2">
      <c r="A240" s="35"/>
      <c r="B240" s="107">
        <v>40</v>
      </c>
      <c r="C240" s="191">
        <f t="shared" si="44"/>
        <v>506.33100000000002</v>
      </c>
      <c r="D240" s="224">
        <f t="shared" si="51"/>
        <v>579.33100000000002</v>
      </c>
      <c r="E240" s="198">
        <f t="shared" si="51"/>
        <v>483.23099999999999</v>
      </c>
      <c r="F240" s="198">
        <f t="shared" si="52"/>
        <v>435.4</v>
      </c>
      <c r="G240" s="191">
        <f t="shared" si="46"/>
        <v>420.4</v>
      </c>
      <c r="H240" s="227">
        <f t="shared" si="46"/>
        <v>62.831000000000003</v>
      </c>
      <c r="I240" s="231">
        <f t="shared" si="47"/>
        <v>81.099999999999994</v>
      </c>
      <c r="J240" s="231">
        <f t="shared" si="47"/>
        <v>15</v>
      </c>
      <c r="K240" s="296">
        <f t="shared" si="53"/>
        <v>0.13002270135814964</v>
      </c>
      <c r="L240" s="235">
        <f t="shared" si="48"/>
        <v>0.327830825842996</v>
      </c>
      <c r="M240" s="235">
        <f t="shared" si="49"/>
        <v>0.2721871972349495</v>
      </c>
      <c r="N240" s="235">
        <f t="shared" si="50"/>
        <v>4.0679813961629674E-2</v>
      </c>
      <c r="O240" s="1"/>
      <c r="P240" s="239">
        <f t="shared" si="54"/>
        <v>0.327830825842996</v>
      </c>
    </row>
    <row r="241" spans="1:16" ht="15" customHeight="1" x14ac:dyDescent="0.2">
      <c r="A241" s="35"/>
      <c r="B241" s="107">
        <v>50</v>
      </c>
      <c r="C241" s="192">
        <f t="shared" si="44"/>
        <v>597.02700000000004</v>
      </c>
      <c r="D241" s="223">
        <f t="shared" si="51"/>
        <v>670.02700000000004</v>
      </c>
      <c r="E241" s="197">
        <f t="shared" si="51"/>
        <v>572.42700000000002</v>
      </c>
      <c r="F241" s="197">
        <f t="shared" si="52"/>
        <v>512.9</v>
      </c>
      <c r="G241" s="192">
        <f t="shared" si="46"/>
        <v>498</v>
      </c>
      <c r="H241" s="228">
        <f t="shared" si="46"/>
        <v>74.427000000000007</v>
      </c>
      <c r="I241" s="232">
        <f t="shared" si="47"/>
        <v>82.7</v>
      </c>
      <c r="J241" s="232">
        <f t="shared" si="47"/>
        <v>14.9</v>
      </c>
      <c r="K241" s="297">
        <f t="shared" si="53"/>
        <v>0.1300200724284494</v>
      </c>
      <c r="L241" s="236">
        <f t="shared" si="48"/>
        <v>0.30924253811924035</v>
      </c>
      <c r="M241" s="236">
        <f t="shared" si="49"/>
        <v>0.25794333819791604</v>
      </c>
      <c r="N241" s="236">
        <f t="shared" si="50"/>
        <v>3.8550098056337946E-2</v>
      </c>
      <c r="O241" s="1"/>
      <c r="P241" s="240">
        <f t="shared" si="54"/>
        <v>0.30924253811924035</v>
      </c>
    </row>
    <row r="242" spans="1:16" ht="15" customHeight="1" x14ac:dyDescent="0.2">
      <c r="A242" s="35"/>
      <c r="B242" s="1"/>
      <c r="C242" s="1"/>
      <c r="D242" s="1"/>
      <c r="E242" s="1"/>
      <c r="F242" s="1"/>
      <c r="G242" s="1"/>
      <c r="H242" s="1"/>
      <c r="I242" s="1"/>
      <c r="J242" s="1"/>
      <c r="K242" s="1"/>
      <c r="L242" s="1"/>
      <c r="M242" s="1"/>
      <c r="N242" s="1"/>
      <c r="O242" s="1"/>
      <c r="P242" s="22"/>
    </row>
    <row r="243" spans="1:16" ht="15" customHeight="1" x14ac:dyDescent="0.2">
      <c r="A243" s="35"/>
      <c r="B243" s="1"/>
      <c r="C243" s="1"/>
      <c r="D243" s="1"/>
      <c r="E243" s="1"/>
      <c r="F243" s="1"/>
      <c r="G243" s="1"/>
      <c r="H243" s="1"/>
      <c r="I243" s="1"/>
      <c r="J243" s="1"/>
      <c r="K243" s="1"/>
      <c r="L243" s="278" t="s">
        <v>133</v>
      </c>
      <c r="M243" s="281" t="s">
        <v>149</v>
      </c>
      <c r="N243" s="1"/>
      <c r="O243" s="1"/>
      <c r="P243" s="22"/>
    </row>
    <row r="244" spans="1:16" ht="15" customHeight="1" x14ac:dyDescent="0.2">
      <c r="A244" s="35"/>
      <c r="B244" s="1"/>
      <c r="C244" s="1"/>
      <c r="D244" s="1"/>
      <c r="E244" s="1"/>
      <c r="F244" s="1"/>
      <c r="G244" s="1"/>
      <c r="H244" s="1"/>
      <c r="I244" s="1"/>
      <c r="J244" s="1"/>
      <c r="K244" s="1"/>
      <c r="L244" s="1"/>
      <c r="M244" s="1"/>
      <c r="N244" s="1"/>
      <c r="O244" s="1"/>
      <c r="P244" s="22"/>
    </row>
    <row r="245" spans="1:16" ht="15" customHeight="1" x14ac:dyDescent="0.2">
      <c r="A245" s="35"/>
      <c r="B245" s="1"/>
      <c r="C245" s="1"/>
      <c r="D245" s="1"/>
      <c r="E245" s="1"/>
      <c r="F245" s="1"/>
      <c r="G245" s="1"/>
      <c r="H245" s="1"/>
      <c r="I245" s="1"/>
      <c r="J245" s="1"/>
      <c r="K245" s="1"/>
      <c r="L245" s="1"/>
      <c r="M245" s="280"/>
      <c r="N245" s="1"/>
      <c r="O245" s="1"/>
      <c r="P245" s="22"/>
    </row>
    <row r="246" spans="1:16" ht="15" customHeight="1" x14ac:dyDescent="0.2">
      <c r="A246" s="36"/>
      <c r="B246" s="24"/>
      <c r="C246" s="24"/>
      <c r="D246" s="24"/>
      <c r="E246" s="24"/>
      <c r="F246" s="24"/>
      <c r="G246" s="24"/>
      <c r="H246" s="24"/>
      <c r="I246" s="24"/>
      <c r="J246" s="24"/>
      <c r="K246" s="24"/>
      <c r="L246" s="24"/>
      <c r="M246" s="24"/>
      <c r="N246" s="24"/>
      <c r="O246" s="24"/>
      <c r="P246" s="17"/>
    </row>
    <row r="247" spans="1:16" ht="15" customHeight="1" x14ac:dyDescent="0.2"/>
    <row r="248" spans="1:16" ht="15" customHeight="1" x14ac:dyDescent="0.2"/>
    <row r="249" spans="1:16" ht="15" customHeight="1" x14ac:dyDescent="0.2"/>
    <row r="250" spans="1:16" ht="15" customHeight="1" x14ac:dyDescent="0.2"/>
    <row r="251" spans="1:16" ht="15" customHeight="1" x14ac:dyDescent="0.2"/>
    <row r="252" spans="1:16" ht="15" customHeight="1" x14ac:dyDescent="0.2"/>
    <row r="253" spans="1:16" ht="15" customHeight="1" x14ac:dyDescent="0.2"/>
    <row r="254" spans="1:16" ht="15" customHeight="1" x14ac:dyDescent="0.2"/>
    <row r="255" spans="1:16" ht="15" customHeight="1" x14ac:dyDescent="0.2"/>
    <row r="256" spans="1:16" ht="15" customHeight="1" x14ac:dyDescent="0.2"/>
    <row r="257" spans="1:21" ht="15" customHeight="1" x14ac:dyDescent="0.2"/>
    <row r="258" spans="1:21" ht="15" customHeight="1" x14ac:dyDescent="0.2"/>
    <row r="259" spans="1:21" ht="15" customHeight="1" x14ac:dyDescent="0.2"/>
    <row r="260" spans="1:21" ht="15" customHeight="1" x14ac:dyDescent="0.2"/>
    <row r="261" spans="1:21" ht="15" customHeight="1" x14ac:dyDescent="0.2"/>
    <row r="262" spans="1:21" ht="15" customHeight="1" x14ac:dyDescent="0.2"/>
    <row r="263" spans="1:21" ht="15" customHeight="1" x14ac:dyDescent="0.2"/>
    <row r="264" spans="1:21" ht="15" customHeight="1" x14ac:dyDescent="0.2"/>
    <row r="265" spans="1:21" ht="15" customHeight="1" x14ac:dyDescent="0.2"/>
    <row r="266" spans="1:21" ht="1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row>
    <row r="267" spans="1:21" ht="15" customHeight="1" x14ac:dyDescent="0.2"/>
    <row r="268" spans="1:21" ht="15" customHeight="1" x14ac:dyDescent="0.2"/>
    <row r="269" spans="1:21" ht="15" customHeight="1" x14ac:dyDescent="0.2"/>
    <row r="270" spans="1:21" ht="15" customHeight="1" x14ac:dyDescent="0.2"/>
    <row r="271" spans="1:21" ht="15" customHeight="1" x14ac:dyDescent="0.2"/>
    <row r="272" spans="1:21"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sheetData>
  <pageMargins left="0.5" right="0.5" top="0.5" bottom="0.5" header="0.3" footer="0.3"/>
  <pageSetup scale="79"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ransitionEntry="1">
    <tabColor theme="6" tint="0.39997558519241921"/>
  </sheetPr>
  <dimension ref="A1:AD400"/>
  <sheetViews>
    <sheetView showGridLines="0" zoomScale="80" zoomScaleNormal="8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468</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469</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319</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82" t="s">
        <v>333</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585</v>
      </c>
      <c r="D13" s="481" t="s">
        <v>304</v>
      </c>
      <c r="E13" s="158" t="s">
        <v>276</v>
      </c>
      <c r="F13" s="158"/>
      <c r="G13" s="158"/>
      <c r="H13" s="158"/>
      <c r="I13" s="158"/>
      <c r="J13" s="158"/>
      <c r="K13" s="158"/>
      <c r="L13" s="158"/>
      <c r="M13" s="41"/>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12</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L299</f>
        <v xml:space="preserve">C-ZETA CURVE NAME   (create manually) </v>
      </c>
      <c r="D20" s="40" t="str">
        <f>M299</f>
        <v xml:space="preserve"> 145_80_37_f</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473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s="1"/>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491</v>
      </c>
      <c r="X29" s="349"/>
    </row>
    <row r="30" spans="1:30" ht="15" customHeight="1" x14ac:dyDescent="0.2">
      <c r="B30" s="68">
        <v>1</v>
      </c>
      <c r="C30" s="398">
        <v>2</v>
      </c>
      <c r="D30" s="398">
        <v>0.75</v>
      </c>
      <c r="E30" s="389">
        <f>SUM(C30:D30)/2</f>
        <v>1.375</v>
      </c>
      <c r="G30" s="384">
        <v>1.42</v>
      </c>
      <c r="I30" s="28" t="s">
        <v>284</v>
      </c>
      <c r="U30" s="79">
        <v>18</v>
      </c>
      <c r="V30" s="10" t="s">
        <v>591</v>
      </c>
      <c r="W30" s="848"/>
      <c r="X30" s="79">
        <v>50</v>
      </c>
      <c r="Y30" s="10" t="s">
        <v>591</v>
      </c>
      <c r="Z30" s="9"/>
      <c r="AA30" s="861" t="s">
        <v>598</v>
      </c>
      <c r="AB30" s="10"/>
      <c r="AC30" s="9"/>
      <c r="AD30" s="10"/>
    </row>
    <row r="31" spans="1:30" ht="15" customHeight="1" x14ac:dyDescent="0.2">
      <c r="B31" s="68">
        <v>2</v>
      </c>
      <c r="C31" s="398">
        <v>4</v>
      </c>
      <c r="D31" s="398">
        <v>2</v>
      </c>
      <c r="E31" s="389">
        <f t="shared" ref="E31:E39" si="0">SUM(C31:D31)/2</f>
        <v>3</v>
      </c>
      <c r="G31" s="385">
        <v>3.75</v>
      </c>
      <c r="I31" t="s">
        <v>283</v>
      </c>
      <c r="U31" s="859">
        <f>((U30/2)^2*3.1416)</f>
        <v>254.46959999999999</v>
      </c>
      <c r="V31" s="858" t="s">
        <v>592</v>
      </c>
      <c r="W31" s="1"/>
      <c r="X31" s="859">
        <f>((X30/2)^2*3.1416)</f>
        <v>1963.5</v>
      </c>
      <c r="Y31" s="858" t="s">
        <v>592</v>
      </c>
      <c r="Z31" s="1"/>
      <c r="AA31" s="860">
        <f>U31/X31</f>
        <v>0.12959999999999999</v>
      </c>
      <c r="AB31" s="17"/>
      <c r="AC31" s="1"/>
      <c r="AD31" s="22"/>
    </row>
    <row r="32" spans="1:30" ht="15" customHeight="1" x14ac:dyDescent="0.2">
      <c r="B32" s="68">
        <v>3</v>
      </c>
      <c r="C32" s="398">
        <v>5.8</v>
      </c>
      <c r="D32" s="398">
        <v>3.3</v>
      </c>
      <c r="E32" s="389">
        <f t="shared" si="0"/>
        <v>4.55</v>
      </c>
      <c r="G32" s="386">
        <v>6.27</v>
      </c>
      <c r="U32" s="35"/>
      <c r="V32" s="1"/>
      <c r="W32" s="1"/>
      <c r="X32" s="1"/>
      <c r="Y32" s="1"/>
      <c r="Z32" s="1"/>
      <c r="AA32" s="861" t="s">
        <v>599</v>
      </c>
      <c r="AB32" s="10"/>
      <c r="AC32" s="1"/>
      <c r="AD32" s="22"/>
    </row>
    <row r="33" spans="1:30" ht="15" customHeight="1" x14ac:dyDescent="0.2">
      <c r="B33" s="68">
        <v>4</v>
      </c>
      <c r="C33" s="398">
        <v>7.51</v>
      </c>
      <c r="D33" s="398">
        <v>4.7</v>
      </c>
      <c r="E33" s="389">
        <f t="shared" si="0"/>
        <v>6.1050000000000004</v>
      </c>
      <c r="G33" s="386">
        <v>8.7200000000000006</v>
      </c>
      <c r="U33" s="35" t="s">
        <v>589</v>
      </c>
      <c r="V33" s="1"/>
      <c r="W33" s="1"/>
      <c r="X33" s="1"/>
      <c r="Y33" s="1"/>
      <c r="Z33" s="1"/>
      <c r="AA33" s="860">
        <f>U31/(X31-U31)</f>
        <v>0.14889705882352938</v>
      </c>
      <c r="AB33" s="17"/>
      <c r="AC33" s="1"/>
      <c r="AD33" s="22"/>
    </row>
    <row r="34" spans="1:30" ht="15" customHeight="1" x14ac:dyDescent="0.2">
      <c r="B34" s="68">
        <v>5</v>
      </c>
      <c r="C34" s="398">
        <v>9</v>
      </c>
      <c r="D34" s="398">
        <v>5.9</v>
      </c>
      <c r="E34" s="389">
        <f t="shared" si="0"/>
        <v>7.45</v>
      </c>
      <c r="G34" s="385">
        <v>11.2</v>
      </c>
      <c r="U34" s="854" t="s">
        <v>595</v>
      </c>
      <c r="V34" s="849"/>
      <c r="W34" s="849"/>
      <c r="X34" s="849"/>
      <c r="Y34" s="1"/>
      <c r="Z34" s="1"/>
      <c r="AA34" s="1"/>
      <c r="AB34" s="1"/>
      <c r="AC34" s="1"/>
      <c r="AD34" s="22"/>
    </row>
    <row r="35" spans="1:30" ht="15" customHeight="1" x14ac:dyDescent="0.2">
      <c r="B35" s="68">
        <v>10</v>
      </c>
      <c r="C35" s="398">
        <v>11.51</v>
      </c>
      <c r="D35" s="398">
        <v>10</v>
      </c>
      <c r="E35" s="389">
        <f t="shared" si="0"/>
        <v>10.754999999999999</v>
      </c>
      <c r="G35" s="386">
        <v>22.88</v>
      </c>
      <c r="I35">
        <f>63.7/426</f>
        <v>0.14953051643192489</v>
      </c>
      <c r="U35" s="487" t="s">
        <v>593</v>
      </c>
      <c r="V35" s="1"/>
      <c r="W35" s="1"/>
      <c r="X35" s="1"/>
      <c r="Y35" s="1"/>
      <c r="Z35" s="1"/>
      <c r="AA35" s="1"/>
      <c r="AB35" s="1"/>
      <c r="AC35" s="1"/>
      <c r="AD35" s="22"/>
    </row>
    <row r="36" spans="1:30" ht="15" customHeight="1" x14ac:dyDescent="0.2">
      <c r="B36" s="68">
        <v>20</v>
      </c>
      <c r="C36" s="398">
        <v>13</v>
      </c>
      <c r="D36" s="398">
        <v>13</v>
      </c>
      <c r="E36" s="389">
        <f t="shared" si="0"/>
        <v>13</v>
      </c>
      <c r="G36" s="386">
        <v>41.61</v>
      </c>
      <c r="U36" s="821" t="s">
        <v>594</v>
      </c>
      <c r="V36" s="862"/>
      <c r="W36" s="862"/>
      <c r="X36" s="862"/>
      <c r="Y36" s="1"/>
      <c r="Z36" s="1"/>
      <c r="AA36" s="1"/>
      <c r="AB36" s="1"/>
      <c r="AC36" s="1"/>
      <c r="AD36" s="22"/>
    </row>
    <row r="37" spans="1:30" ht="15" customHeight="1" x14ac:dyDescent="0.2">
      <c r="B37" s="68">
        <v>30</v>
      </c>
      <c r="C37" s="398">
        <v>13</v>
      </c>
      <c r="D37" s="398">
        <v>13</v>
      </c>
      <c r="E37" s="389">
        <f t="shared" si="0"/>
        <v>13</v>
      </c>
      <c r="G37" s="386">
        <v>56.68</v>
      </c>
      <c r="U37" s="35">
        <v>62</v>
      </c>
      <c r="V37" s="1">
        <v>3.7</v>
      </c>
      <c r="W37" s="1">
        <f>SUM(U37:V37)</f>
        <v>65.7</v>
      </c>
      <c r="X37" s="863">
        <f>V37/W37</f>
        <v>5.6316590563165903E-2</v>
      </c>
      <c r="Y37" s="1"/>
      <c r="Z37" s="1"/>
      <c r="AA37" s="1"/>
      <c r="AB37" s="1"/>
      <c r="AC37" s="1"/>
      <c r="AD37" s="22"/>
    </row>
    <row r="38" spans="1:30" ht="15" customHeight="1" x14ac:dyDescent="0.2">
      <c r="B38" s="68">
        <v>40</v>
      </c>
      <c r="C38" s="398">
        <v>13</v>
      </c>
      <c r="D38" s="398">
        <v>13</v>
      </c>
      <c r="E38" s="389">
        <f t="shared" si="0"/>
        <v>13</v>
      </c>
      <c r="G38" s="386">
        <v>69.06</v>
      </c>
      <c r="H38" s="1"/>
      <c r="U38" s="35">
        <v>184.1</v>
      </c>
      <c r="V38" s="1">
        <v>22.9</v>
      </c>
      <c r="W38" s="1">
        <f t="shared" ref="W38:W39" si="1">SUM(U38:V38)</f>
        <v>207</v>
      </c>
      <c r="X38" s="863">
        <f t="shared" ref="X38:X39" si="2">V38/W38</f>
        <v>0.11062801932367149</v>
      </c>
      <c r="Y38" s="1"/>
      <c r="Z38" s="1"/>
      <c r="AA38" s="1"/>
      <c r="AB38" s="1"/>
      <c r="AC38" s="1"/>
      <c r="AD38" s="22"/>
    </row>
    <row r="39" spans="1:30" ht="15" customHeight="1" x14ac:dyDescent="0.2">
      <c r="B39" s="68">
        <v>50</v>
      </c>
      <c r="C39" s="399">
        <v>13</v>
      </c>
      <c r="D39" s="399">
        <v>13</v>
      </c>
      <c r="E39" s="390">
        <f t="shared" si="0"/>
        <v>13</v>
      </c>
      <c r="G39" s="387">
        <v>80.31</v>
      </c>
      <c r="U39" s="35">
        <v>575.6</v>
      </c>
      <c r="V39" s="1">
        <v>80.3</v>
      </c>
      <c r="W39" s="1">
        <f t="shared" si="1"/>
        <v>655.9</v>
      </c>
      <c r="X39" s="863">
        <f t="shared" si="2"/>
        <v>0.12242719926818113</v>
      </c>
      <c r="Y39" s="1"/>
      <c r="Z39" s="1"/>
      <c r="AA39" s="1"/>
      <c r="AB39" s="1"/>
      <c r="AC39" s="1"/>
      <c r="AD39" s="22"/>
    </row>
    <row r="40" spans="1:30" ht="15" customHeight="1" x14ac:dyDescent="0.2">
      <c r="U40" s="35"/>
      <c r="V40" s="1"/>
      <c r="W40" s="1"/>
      <c r="X40" s="1"/>
      <c r="Y40" s="1"/>
      <c r="Z40" s="1"/>
      <c r="AA40" s="1"/>
      <c r="AB40" s="1"/>
      <c r="AC40" s="1"/>
      <c r="AD40" s="22"/>
    </row>
    <row r="41" spans="1:30" ht="15" customHeight="1" x14ac:dyDescent="0.2">
      <c r="A41" t="s">
        <v>587</v>
      </c>
      <c r="C41" s="28" t="s">
        <v>588</v>
      </c>
      <c r="U41" s="487" t="s">
        <v>590</v>
      </c>
      <c r="V41" s="1"/>
      <c r="W41" s="1"/>
      <c r="X41" s="1"/>
      <c r="Y41" s="1"/>
      <c r="Z41" s="1"/>
      <c r="AA41" s="1"/>
      <c r="AB41" s="1"/>
      <c r="AC41" s="1"/>
      <c r="AD41" s="22"/>
    </row>
    <row r="42" spans="1:30" ht="15" customHeight="1" x14ac:dyDescent="0.2">
      <c r="C42" s="28" t="s">
        <v>600</v>
      </c>
      <c r="U42" s="487" t="s">
        <v>596</v>
      </c>
      <c r="V42" s="1"/>
      <c r="W42" s="1"/>
      <c r="X42" s="1"/>
      <c r="Y42" s="1"/>
      <c r="Z42" s="1"/>
      <c r="AA42" s="1"/>
      <c r="AB42" s="1"/>
      <c r="AC42" s="1"/>
      <c r="AD42" s="22"/>
    </row>
    <row r="43" spans="1:30" ht="15" customHeight="1" x14ac:dyDescent="0.2">
      <c r="U43" s="487" t="s">
        <v>597</v>
      </c>
      <c r="V43" s="1"/>
      <c r="W43" s="1"/>
      <c r="X43" s="1"/>
      <c r="Y43" s="1"/>
      <c r="Z43" s="1"/>
      <c r="AA43" s="1"/>
      <c r="AB43" s="1"/>
      <c r="AC43" s="1"/>
      <c r="AD43" s="22"/>
    </row>
    <row r="44" spans="1:30" ht="15" customHeight="1" x14ac:dyDescent="0.2">
      <c r="U44" s="35">
        <v>62</v>
      </c>
      <c r="V44" s="1">
        <v>3.7</v>
      </c>
      <c r="W44" s="864">
        <f>V44/U44</f>
        <v>5.9677419354838709E-2</v>
      </c>
      <c r="X44" s="1"/>
      <c r="Y44" s="1"/>
      <c r="Z44" s="1"/>
      <c r="AA44" s="1"/>
      <c r="AB44" s="1"/>
      <c r="AC44" s="1"/>
      <c r="AD44" s="22"/>
    </row>
    <row r="45" spans="1:30" ht="15" customHeight="1" x14ac:dyDescent="0.2">
      <c r="U45" s="35">
        <v>184.1</v>
      </c>
      <c r="V45" s="1">
        <v>22.9</v>
      </c>
      <c r="W45" s="864">
        <f t="shared" ref="W45:W46" si="3">V45/U45</f>
        <v>0.12438891906572515</v>
      </c>
      <c r="X45" s="1"/>
      <c r="Y45" s="1">
        <f>18/50</f>
        <v>0.36</v>
      </c>
      <c r="Z45" s="1"/>
      <c r="AA45" s="849"/>
      <c r="AB45" s="849"/>
      <c r="AC45" s="849"/>
      <c r="AD45" s="22"/>
    </row>
    <row r="46" spans="1:30" ht="15" customHeight="1" x14ac:dyDescent="0.2">
      <c r="U46" s="36">
        <v>575.6</v>
      </c>
      <c r="V46" s="24">
        <v>80.3</v>
      </c>
      <c r="W46" s="865">
        <f t="shared" si="3"/>
        <v>0.13950660180681027</v>
      </c>
      <c r="X46" s="24"/>
      <c r="Y46" s="24"/>
      <c r="Z46" s="857"/>
      <c r="AA46" s="857"/>
      <c r="AB46" s="857"/>
      <c r="AC46" s="857"/>
      <c r="AD46" s="17"/>
    </row>
    <row r="47" spans="1:30" ht="15" customHeight="1" x14ac:dyDescent="0.2">
      <c r="Z47" s="349"/>
      <c r="AA47" s="349"/>
      <c r="AB47" s="349"/>
      <c r="AC47" s="349"/>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388" t="s">
        <v>543</v>
      </c>
      <c r="D57" s="388" t="s">
        <v>544</v>
      </c>
      <c r="E57" s="388" t="s">
        <v>545</v>
      </c>
      <c r="F57" s="388" t="s">
        <v>546</v>
      </c>
      <c r="G57" s="388" t="s">
        <v>547</v>
      </c>
      <c r="H57" s="388" t="s">
        <v>548</v>
      </c>
      <c r="I57" s="388" t="s">
        <v>549</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723">
        <v>7.4999999999999997E-3</v>
      </c>
      <c r="D59" s="812">
        <f>(($I59-$C59)/6)*D$56+$C59</f>
        <v>2.7916666666666666E-2</v>
      </c>
      <c r="E59" s="812">
        <f t="shared" ref="D59:H68" si="4">(($I59-$C59)/6)*E$56+$C59</f>
        <v>4.8333333333333332E-2</v>
      </c>
      <c r="F59" s="812">
        <f t="shared" si="4"/>
        <v>6.8750000000000006E-2</v>
      </c>
      <c r="G59" s="812">
        <f t="shared" si="4"/>
        <v>8.9166666666666672E-2</v>
      </c>
      <c r="H59" s="812">
        <f t="shared" si="4"/>
        <v>0.10958333333333334</v>
      </c>
      <c r="I59" s="723">
        <v>0.13</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724">
        <v>0.02</v>
      </c>
      <c r="D60" s="813">
        <f t="shared" si="4"/>
        <v>3.833333333333333E-2</v>
      </c>
      <c r="E60" s="813">
        <f t="shared" si="4"/>
        <v>5.6666666666666671E-2</v>
      </c>
      <c r="F60" s="813">
        <f t="shared" si="4"/>
        <v>7.4999999999999997E-2</v>
      </c>
      <c r="G60" s="813">
        <f t="shared" si="4"/>
        <v>9.3333333333333338E-2</v>
      </c>
      <c r="H60" s="813">
        <f t="shared" si="4"/>
        <v>0.11166666666666668</v>
      </c>
      <c r="I60" s="724">
        <v>0.13</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722">
        <v>3.3000000000000002E-2</v>
      </c>
      <c r="D61" s="814">
        <f t="shared" si="4"/>
        <v>4.9166666666666664E-2</v>
      </c>
      <c r="E61" s="814">
        <f t="shared" si="4"/>
        <v>6.5333333333333327E-2</v>
      </c>
      <c r="F61" s="814">
        <f t="shared" si="4"/>
        <v>8.1500000000000003E-2</v>
      </c>
      <c r="G61" s="814">
        <f t="shared" si="4"/>
        <v>9.7666666666666666E-2</v>
      </c>
      <c r="H61" s="814">
        <f t="shared" si="4"/>
        <v>0.11383333333333333</v>
      </c>
      <c r="I61" s="722">
        <v>0.13</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722">
        <v>4.7E-2</v>
      </c>
      <c r="D62" s="814">
        <f t="shared" si="4"/>
        <v>6.0833333333333336E-2</v>
      </c>
      <c r="E62" s="814">
        <f t="shared" si="4"/>
        <v>7.4666666666666673E-2</v>
      </c>
      <c r="F62" s="814">
        <f t="shared" si="4"/>
        <v>8.8499999999999995E-2</v>
      </c>
      <c r="G62" s="814">
        <f t="shared" si="4"/>
        <v>0.10233333333333333</v>
      </c>
      <c r="H62" s="814">
        <f t="shared" si="4"/>
        <v>0.11616666666666667</v>
      </c>
      <c r="I62" s="722">
        <v>0.13</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724">
        <v>5.8999999999999997E-2</v>
      </c>
      <c r="D63" s="813">
        <f t="shared" si="4"/>
        <v>7.0833333333333331E-2</v>
      </c>
      <c r="E63" s="813">
        <f t="shared" si="4"/>
        <v>8.2666666666666666E-2</v>
      </c>
      <c r="F63" s="813">
        <f t="shared" si="4"/>
        <v>9.4500000000000001E-2</v>
      </c>
      <c r="G63" s="813">
        <f t="shared" si="4"/>
        <v>0.10633333333333334</v>
      </c>
      <c r="H63" s="813">
        <f t="shared" si="4"/>
        <v>0.11816666666666667</v>
      </c>
      <c r="I63" s="724">
        <v>0.13</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722">
        <v>0.1</v>
      </c>
      <c r="D64" s="814">
        <f t="shared" si="4"/>
        <v>0.10500000000000001</v>
      </c>
      <c r="E64" s="814">
        <f t="shared" si="4"/>
        <v>0.11</v>
      </c>
      <c r="F64" s="814">
        <f t="shared" si="4"/>
        <v>0.115</v>
      </c>
      <c r="G64" s="814">
        <f t="shared" si="4"/>
        <v>0.12000000000000001</v>
      </c>
      <c r="H64" s="814">
        <f t="shared" si="4"/>
        <v>0.125</v>
      </c>
      <c r="I64" s="722">
        <v>0.13</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398">
        <v>0.13</v>
      </c>
      <c r="D65" s="528">
        <f t="shared" si="4"/>
        <v>0.13</v>
      </c>
      <c r="E65" s="528">
        <f t="shared" si="4"/>
        <v>0.13</v>
      </c>
      <c r="F65" s="528">
        <f t="shared" si="4"/>
        <v>0.13</v>
      </c>
      <c r="G65" s="528">
        <f t="shared" si="4"/>
        <v>0.13</v>
      </c>
      <c r="H65" s="528">
        <f t="shared" si="4"/>
        <v>0.13</v>
      </c>
      <c r="I65" s="722">
        <v>0.13</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398">
        <v>0.13</v>
      </c>
      <c r="D66" s="528">
        <f t="shared" si="4"/>
        <v>0.13</v>
      </c>
      <c r="E66" s="528">
        <f t="shared" si="4"/>
        <v>0.13</v>
      </c>
      <c r="F66" s="528">
        <f t="shared" si="4"/>
        <v>0.13</v>
      </c>
      <c r="G66" s="528">
        <f t="shared" si="4"/>
        <v>0.13</v>
      </c>
      <c r="H66" s="528">
        <f t="shared" si="4"/>
        <v>0.13</v>
      </c>
      <c r="I66" s="722">
        <v>0.13</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398">
        <v>0.13</v>
      </c>
      <c r="D67" s="528">
        <f t="shared" si="4"/>
        <v>0.13</v>
      </c>
      <c r="E67" s="528">
        <f t="shared" si="4"/>
        <v>0.13</v>
      </c>
      <c r="F67" s="528">
        <f t="shared" si="4"/>
        <v>0.13</v>
      </c>
      <c r="G67" s="528">
        <f t="shared" si="4"/>
        <v>0.13</v>
      </c>
      <c r="H67" s="528">
        <f t="shared" si="4"/>
        <v>0.13</v>
      </c>
      <c r="I67" s="722">
        <v>0.13</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725">
        <v>0.13</v>
      </c>
      <c r="D68" s="529">
        <f t="shared" si="4"/>
        <v>0.13</v>
      </c>
      <c r="E68" s="529">
        <f t="shared" si="4"/>
        <v>0.13</v>
      </c>
      <c r="F68" s="529">
        <f t="shared" si="4"/>
        <v>0.13</v>
      </c>
      <c r="G68" s="529">
        <f t="shared" si="4"/>
        <v>0.13</v>
      </c>
      <c r="H68" s="529">
        <f t="shared" si="4"/>
        <v>0.13</v>
      </c>
      <c r="I68" s="726">
        <v>0.13</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66"/>
      <c r="C70" s="827"/>
      <c r="D70" s="828"/>
      <c r="E70" s="828"/>
      <c r="F70" s="828"/>
      <c r="G70" s="828"/>
      <c r="H70" s="828"/>
      <c r="I70" s="829"/>
      <c r="J70" s="41"/>
      <c r="K70" s="66"/>
      <c r="L70" s="751"/>
      <c r="M70" s="66"/>
      <c r="N70" s="751"/>
      <c r="O70" s="66"/>
      <c r="P70" s="751"/>
      <c r="Q70" s="66"/>
      <c r="R70" s="751"/>
      <c r="S70" s="66"/>
      <c r="T70" s="751"/>
    </row>
    <row r="71" spans="1:25" ht="15" customHeight="1" x14ac:dyDescent="0.2">
      <c r="A71" s="41"/>
      <c r="B71" s="66"/>
      <c r="C71" s="827"/>
      <c r="D71" s="828"/>
      <c r="E71" s="828"/>
      <c r="F71" s="828"/>
      <c r="G71" s="828"/>
      <c r="H71" s="828"/>
      <c r="I71" s="829"/>
      <c r="J71" s="41"/>
      <c r="K71" s="66"/>
      <c r="L71" s="831"/>
      <c r="P71" s="66"/>
      <c r="Q71" s="751"/>
      <c r="R71" s="66"/>
      <c r="S71" s="751"/>
      <c r="T71" s="66"/>
      <c r="U71" s="751"/>
      <c r="V71" s="66"/>
      <c r="W71" s="751"/>
      <c r="X71" s="66"/>
      <c r="Y71" s="751"/>
    </row>
    <row r="72" spans="1:25" ht="15" customHeight="1" x14ac:dyDescent="0.2">
      <c r="A72" s="41"/>
      <c r="B72" s="66"/>
      <c r="C72" s="827"/>
      <c r="D72" s="828"/>
      <c r="E72" s="828"/>
      <c r="F72" s="828"/>
      <c r="G72" s="828"/>
      <c r="H72" s="828"/>
      <c r="I72" s="829"/>
      <c r="J72" s="41"/>
      <c r="K72" s="66"/>
      <c r="L72" s="831"/>
      <c r="P72" s="66"/>
      <c r="Q72" s="751"/>
      <c r="R72" s="66"/>
      <c r="S72" s="751"/>
      <c r="T72" s="66"/>
      <c r="U72" s="751"/>
      <c r="V72" s="66"/>
      <c r="W72" s="751"/>
      <c r="X72" s="66"/>
      <c r="Y72" s="751"/>
    </row>
    <row r="73" spans="1:25" ht="15" customHeight="1" x14ac:dyDescent="0.2">
      <c r="A73" s="41"/>
      <c r="B73" s="66"/>
      <c r="C73" s="827"/>
      <c r="D73" s="828"/>
      <c r="E73" s="828"/>
      <c r="F73" s="828"/>
      <c r="G73" s="828"/>
      <c r="H73" s="828"/>
      <c r="I73" s="829"/>
      <c r="J73" s="41"/>
      <c r="K73" s="66"/>
      <c r="L73" s="831"/>
      <c r="P73" s="66"/>
      <c r="Q73" s="751"/>
      <c r="R73" s="66"/>
      <c r="S73" s="751"/>
      <c r="T73" s="66"/>
      <c r="U73" s="751"/>
      <c r="V73" s="66"/>
      <c r="W73" s="751"/>
      <c r="X73" s="66"/>
      <c r="Y73" s="751"/>
    </row>
    <row r="74" spans="1:25" ht="15" customHeight="1" x14ac:dyDescent="0.2">
      <c r="A74" s="41"/>
      <c r="B74" s="66"/>
      <c r="C74" s="827"/>
      <c r="D74" s="828"/>
      <c r="E74" s="828"/>
      <c r="F74" s="828"/>
      <c r="G74" s="828"/>
      <c r="H74" s="828"/>
      <c r="I74" s="829"/>
      <c r="J74" s="41"/>
      <c r="K74" s="66"/>
      <c r="L74" s="831"/>
      <c r="P74" s="66"/>
      <c r="Q74" s="751"/>
      <c r="R74" s="66"/>
      <c r="S74" s="751"/>
      <c r="T74" s="66"/>
      <c r="U74" s="751"/>
      <c r="V74" s="66"/>
      <c r="W74" s="751"/>
      <c r="X74" s="66"/>
      <c r="Y74" s="751"/>
    </row>
    <row r="75" spans="1:25" ht="15" customHeight="1" x14ac:dyDescent="0.2">
      <c r="A75" s="41"/>
      <c r="B75" s="66"/>
      <c r="C75" s="827"/>
      <c r="D75" s="828"/>
      <c r="E75" s="828"/>
      <c r="F75" s="828"/>
      <c r="G75" s="828"/>
      <c r="H75" s="828"/>
      <c r="I75" s="829"/>
      <c r="J75" s="41"/>
      <c r="K75" s="66"/>
      <c r="L75" s="831"/>
      <c r="P75" s="66"/>
      <c r="Q75" s="751"/>
      <c r="R75" s="66"/>
      <c r="S75" s="751"/>
      <c r="T75" s="66"/>
      <c r="U75" s="751"/>
      <c r="V75" s="66"/>
      <c r="W75" s="751"/>
      <c r="X75" s="66"/>
      <c r="Y75" s="751"/>
    </row>
    <row r="76" spans="1:25" ht="15" customHeight="1" x14ac:dyDescent="0.2">
      <c r="A76" s="41"/>
      <c r="B76" s="66"/>
      <c r="C76" s="827"/>
      <c r="D76" s="828"/>
      <c r="E76" s="828"/>
      <c r="F76" s="828"/>
      <c r="G76" s="828"/>
      <c r="H76" s="828"/>
      <c r="I76" s="829"/>
      <c r="J76" s="41"/>
      <c r="K76" s="66"/>
      <c r="L76" s="831"/>
      <c r="P76" s="66"/>
      <c r="Q76" s="751"/>
      <c r="R76" s="66"/>
      <c r="S76" s="751"/>
      <c r="T76" s="66"/>
      <c r="U76" s="751"/>
      <c r="V76" s="66"/>
      <c r="W76" s="751"/>
      <c r="X76" s="66"/>
      <c r="Y76" s="751"/>
    </row>
    <row r="77" spans="1:25" ht="15" customHeight="1" x14ac:dyDescent="0.2">
      <c r="A77" s="41"/>
      <c r="B77" s="66"/>
      <c r="C77" s="827"/>
      <c r="D77" s="828"/>
      <c r="E77" s="828"/>
      <c r="F77" s="828"/>
      <c r="G77" s="828"/>
      <c r="H77" s="828"/>
      <c r="I77" s="829"/>
      <c r="J77" s="41"/>
      <c r="K77" s="66"/>
      <c r="L77" s="831"/>
      <c r="P77" s="66"/>
      <c r="Q77" s="751"/>
      <c r="R77" s="66"/>
      <c r="S77" s="751"/>
      <c r="T77" s="66"/>
      <c r="U77" s="751"/>
      <c r="V77" s="66"/>
      <c r="W77" s="751"/>
      <c r="X77" s="66"/>
      <c r="Y77" s="751"/>
    </row>
    <row r="78" spans="1:25" ht="15" customHeight="1" x14ac:dyDescent="0.2">
      <c r="A78" s="41"/>
      <c r="B78" s="66"/>
      <c r="C78" s="827"/>
      <c r="D78" s="828"/>
      <c r="E78" s="828"/>
      <c r="F78" s="828"/>
      <c r="G78" s="828"/>
      <c r="H78" s="828"/>
      <c r="I78" s="829"/>
      <c r="J78" s="41"/>
      <c r="K78" s="66"/>
      <c r="L78" s="831"/>
      <c r="P78" s="66"/>
      <c r="Q78" s="751"/>
      <c r="R78" s="66"/>
      <c r="S78" s="751"/>
      <c r="T78" s="66"/>
      <c r="U78" s="751"/>
      <c r="V78" s="66"/>
      <c r="W78" s="751"/>
      <c r="X78" s="66"/>
      <c r="Y78" s="751"/>
    </row>
    <row r="79" spans="1:25" ht="15" customHeight="1" x14ac:dyDescent="0.2">
      <c r="A79" s="41"/>
      <c r="B79" s="66"/>
      <c r="C79" s="827"/>
      <c r="D79" s="828"/>
      <c r="E79" s="828"/>
      <c r="F79" s="828"/>
      <c r="G79" s="828"/>
      <c r="H79" s="828"/>
      <c r="I79" s="829"/>
      <c r="J79" s="41"/>
      <c r="K79" s="66"/>
      <c r="L79" s="831"/>
      <c r="P79" s="66"/>
      <c r="Q79" s="751"/>
      <c r="R79" s="66"/>
      <c r="S79" s="751"/>
      <c r="T79" s="66"/>
      <c r="U79" s="751"/>
      <c r="V79" s="66"/>
      <c r="W79" s="751"/>
      <c r="X79" s="66"/>
      <c r="Y79" s="751"/>
    </row>
    <row r="80" spans="1:25" ht="15" customHeight="1" x14ac:dyDescent="0.2">
      <c r="A80" s="41"/>
      <c r="B80" s="66"/>
      <c r="C80" s="827"/>
      <c r="D80" s="828"/>
      <c r="E80" s="828"/>
      <c r="F80" s="828"/>
      <c r="G80" s="828"/>
      <c r="H80" s="828"/>
      <c r="I80" s="829"/>
      <c r="J80" s="41"/>
      <c r="K80" s="66"/>
      <c r="L80" s="831"/>
      <c r="P80" s="66"/>
      <c r="Q80" s="751"/>
      <c r="R80" s="66"/>
      <c r="S80" s="751"/>
      <c r="T80" s="66"/>
      <c r="U80" s="751"/>
      <c r="V80" s="66"/>
      <c r="W80" s="751"/>
      <c r="X80" s="66"/>
      <c r="Y80" s="751"/>
    </row>
    <row r="81" spans="1:25" ht="15" customHeight="1" x14ac:dyDescent="0.2">
      <c r="A81" s="41"/>
      <c r="B81" s="66"/>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K99" s="2"/>
      <c r="L99" s="751"/>
    </row>
    <row r="100" spans="1:12" ht="15" customHeight="1" x14ac:dyDescent="0.2">
      <c r="A100" s="64" t="s">
        <v>45</v>
      </c>
      <c r="B100" s="64" t="s">
        <v>474</v>
      </c>
      <c r="K100" s="2"/>
      <c r="L100" s="751"/>
    </row>
    <row r="101" spans="1:12" ht="15" customHeight="1" x14ac:dyDescent="0.2">
      <c r="B101" s="90" t="s">
        <v>65</v>
      </c>
      <c r="K101" s="2"/>
      <c r="L101" s="751"/>
    </row>
    <row r="102" spans="1:12" ht="15" customHeight="1" x14ac:dyDescent="0.2">
      <c r="B102" s="64" t="s">
        <v>488</v>
      </c>
      <c r="K102" s="66"/>
      <c r="L102" s="751"/>
    </row>
    <row r="103" spans="1:12" ht="15" customHeight="1" x14ac:dyDescent="0.2"/>
    <row r="104" spans="1:12" ht="15" customHeight="1" x14ac:dyDescent="0.2">
      <c r="B104" s="117" t="s">
        <v>125</v>
      </c>
      <c r="C104" s="743" t="s">
        <v>475</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32.049999999999997</v>
      </c>
      <c r="C108" s="106">
        <v>1</v>
      </c>
      <c r="D108" s="762">
        <v>33.700000000000003</v>
      </c>
      <c r="E108" s="38"/>
    </row>
    <row r="109" spans="1:12" ht="15" customHeight="1" x14ac:dyDescent="0.2">
      <c r="B109" s="716">
        <v>61.99</v>
      </c>
      <c r="C109" s="106">
        <v>2</v>
      </c>
      <c r="D109" s="176">
        <v>61.99</v>
      </c>
      <c r="E109" s="605">
        <f>D109/D108</f>
        <v>1.8394658753709199</v>
      </c>
    </row>
    <row r="110" spans="1:12" ht="15" customHeight="1" x14ac:dyDescent="0.2">
      <c r="B110" s="65">
        <v>81.849999999999994</v>
      </c>
      <c r="C110" s="106">
        <v>3</v>
      </c>
      <c r="D110" s="763">
        <v>83.7</v>
      </c>
      <c r="E110" s="605">
        <f t="shared" ref="E110:E112" si="5">D110/D109</f>
        <v>1.3502177770608164</v>
      </c>
    </row>
    <row r="111" spans="1:12" ht="15" customHeight="1" x14ac:dyDescent="0.2">
      <c r="B111" s="65">
        <v>103.05</v>
      </c>
      <c r="C111" s="106">
        <v>4</v>
      </c>
      <c r="D111" s="763">
        <v>103.5</v>
      </c>
      <c r="E111" s="605">
        <f t="shared" si="5"/>
        <v>1.2365591397849462</v>
      </c>
    </row>
    <row r="112" spans="1:12" ht="15" customHeight="1" x14ac:dyDescent="0.2">
      <c r="B112" s="716">
        <v>117.88</v>
      </c>
      <c r="C112" s="106">
        <v>5</v>
      </c>
      <c r="D112" s="176">
        <v>117.88</v>
      </c>
      <c r="E112" s="605">
        <f t="shared" si="5"/>
        <v>1.1389371980676328</v>
      </c>
    </row>
    <row r="113" spans="1:8" ht="15" customHeight="1" x14ac:dyDescent="0.2">
      <c r="B113" s="65">
        <v>184.11</v>
      </c>
      <c r="C113" s="106">
        <v>10</v>
      </c>
      <c r="D113" s="177">
        <v>184.11</v>
      </c>
      <c r="E113" s="605">
        <f>(D113/D112)/5</f>
        <v>0.31236851034950802</v>
      </c>
    </row>
    <row r="114" spans="1:8" ht="15" customHeight="1" x14ac:dyDescent="0.2">
      <c r="B114" s="65">
        <v>296.42</v>
      </c>
      <c r="C114" s="106">
        <v>20</v>
      </c>
      <c r="D114" s="177">
        <v>296.42</v>
      </c>
      <c r="E114" s="605">
        <f>(D114/D113)/10</f>
        <v>0.16100157514529356</v>
      </c>
    </row>
    <row r="115" spans="1:8" ht="15" customHeight="1" x14ac:dyDescent="0.2">
      <c r="B115" s="65">
        <v>395.5</v>
      </c>
      <c r="C115" s="106">
        <v>30</v>
      </c>
      <c r="D115" s="177">
        <v>395.5</v>
      </c>
      <c r="E115" s="605">
        <f t="shared" ref="E115:E117" si="6">(D115/D114)/10</f>
        <v>0.13342554483503138</v>
      </c>
    </row>
    <row r="116" spans="1:8" ht="15" customHeight="1" x14ac:dyDescent="0.2">
      <c r="B116" s="65">
        <v>487.68</v>
      </c>
      <c r="C116" s="106">
        <v>40</v>
      </c>
      <c r="D116" s="177">
        <v>487.68</v>
      </c>
      <c r="E116" s="605">
        <f t="shared" si="6"/>
        <v>0.12330720606826802</v>
      </c>
    </row>
    <row r="117" spans="1:8" ht="15" customHeight="1" x14ac:dyDescent="0.2">
      <c r="B117" s="716">
        <v>575.63</v>
      </c>
      <c r="C117" s="106">
        <v>50</v>
      </c>
      <c r="D117" s="176">
        <v>575.63</v>
      </c>
      <c r="E117" s="605">
        <f t="shared" si="6"/>
        <v>0.11803436679790028</v>
      </c>
    </row>
    <row r="118" spans="1:8" ht="15" customHeight="1" x14ac:dyDescent="0.2"/>
    <row r="119" spans="1:8" ht="15" customHeight="1" x14ac:dyDescent="0.2">
      <c r="C119" s="315" t="s">
        <v>126</v>
      </c>
      <c r="H119" s="213"/>
    </row>
    <row r="120" spans="1:8" ht="15" customHeight="1" x14ac:dyDescent="0.2"/>
    <row r="121" spans="1:8" ht="15" customHeight="1" x14ac:dyDescent="0.2"/>
    <row r="122" spans="1:8" ht="15" customHeight="1" x14ac:dyDescent="0.2">
      <c r="A122" s="64" t="s">
        <v>48</v>
      </c>
      <c r="B122" s="64" t="s">
        <v>310</v>
      </c>
    </row>
    <row r="123" spans="1:8" ht="15" customHeight="1" x14ac:dyDescent="0.2">
      <c r="B123" s="64" t="s">
        <v>309</v>
      </c>
    </row>
    <row r="124" spans="1:8" ht="15" customHeight="1" x14ac:dyDescent="0.2">
      <c r="B124" s="90"/>
      <c r="H124" s="53"/>
    </row>
    <row r="125" spans="1:8" ht="15" customHeight="1" x14ac:dyDescent="0.2"/>
    <row r="126" spans="1:8" ht="15" customHeight="1" x14ac:dyDescent="0.2">
      <c r="E126" s="409">
        <f>INDEX(LINEST(D$134:D$138,($C$134:$C$138)^{1,2,3}),1)</f>
        <v>9.6666666666663362E-2</v>
      </c>
      <c r="F126" s="408">
        <f>INDEX(LINEST(D$139:D$143,($C$139:$C$143)^{1,2,3}),1)</f>
        <v>7.5000000000000901E-4</v>
      </c>
      <c r="H126" t="s">
        <v>300</v>
      </c>
    </row>
    <row r="127" spans="1:8" ht="15" customHeight="1" x14ac:dyDescent="0.2">
      <c r="E127" s="409">
        <f>INDEX(LINEST(D$134:D$138,($C$134:$C$138)^{1,2,3}),2)</f>
        <v>-2.9935714285713955</v>
      </c>
      <c r="F127" s="408">
        <f>INDEX(LINEST(D$139:D$143,($C$139:$C$143)^{1,2,3}),2)</f>
        <v>-0.10722857142857237</v>
      </c>
      <c r="H127" t="s">
        <v>301</v>
      </c>
    </row>
    <row r="128" spans="1:8" ht="15" customHeight="1" x14ac:dyDescent="0.2">
      <c r="E128" s="409">
        <f>INDEX(LINEST(D$134:D$138,($C$134:$C$138)^{1,2,3}),3)</f>
        <v>36.00976190476181</v>
      </c>
      <c r="F128" s="408">
        <f>INDEX(LINEST(D$139:D$143,($C$139:$C$143)^{1,2,3}),3)</f>
        <v>13.89671428571431</v>
      </c>
    </row>
    <row r="129" spans="1:11" ht="15" customHeight="1" x14ac:dyDescent="0.2">
      <c r="E129" s="409">
        <f>INDEX(LINEST(D$134:D$138,($C$134:$C$138)^{1,2,3}),4)</f>
        <v>0.70400000000005836</v>
      </c>
      <c r="F129" s="408">
        <f>INDEX(LINEST(D$139:D$143,($C$139:$C$143)^{1,2,3}),4)</f>
        <v>55.167999999999971</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33.700000000000003</v>
      </c>
      <c r="E134" s="114">
        <f>(E$126*($C134)^3)+(E$127*($C134)^2)+(E$128*($C134)^1)+(E$129)</f>
        <v>33.816857142857138</v>
      </c>
      <c r="F134" s="2"/>
      <c r="H134" s="106">
        <v>1</v>
      </c>
      <c r="I134" s="393">
        <f>E134</f>
        <v>33.816857142857138</v>
      </c>
      <c r="J134" s="109">
        <f>B108</f>
        <v>32.049999999999997</v>
      </c>
      <c r="K134" s="410">
        <f>I134-J134</f>
        <v>1.7668571428571411</v>
      </c>
    </row>
    <row r="135" spans="1:11" ht="15" customHeight="1" x14ac:dyDescent="0.2">
      <c r="C135" s="106">
        <v>2</v>
      </c>
      <c r="D135" s="110">
        <f t="shared" ref="D135:D143" si="7">D109</f>
        <v>61.99</v>
      </c>
      <c r="E135" s="114">
        <f>(E$126*($C135)^3)+(E$127*($C135)^2)+(E$128*($C135)^1)+(E$129)</f>
        <v>61.522571428571403</v>
      </c>
      <c r="F135" s="2"/>
      <c r="H135" s="106">
        <v>2</v>
      </c>
      <c r="I135" s="393">
        <f t="shared" ref="I135:I138" si="8">E135</f>
        <v>61.522571428571403</v>
      </c>
      <c r="J135" s="110">
        <f t="shared" ref="J135:J143" si="9">B109</f>
        <v>61.99</v>
      </c>
      <c r="K135" s="411">
        <f t="shared" ref="K135:K143" si="10">I135-J135</f>
        <v>-0.46742857142859862</v>
      </c>
    </row>
    <row r="136" spans="1:11" ht="15" customHeight="1" x14ac:dyDescent="0.2">
      <c r="B136" s="28" t="s">
        <v>308</v>
      </c>
      <c r="C136" s="106">
        <v>3</v>
      </c>
      <c r="D136" s="105">
        <f t="shared" si="7"/>
        <v>83.7</v>
      </c>
      <c r="E136" s="114">
        <f t="shared" ref="E136:E138" si="11">(E$126*($C136)^3)+(E$127*($C136)^2)+(E$128*($C136)^1)+(E$129)</f>
        <v>84.401142857142844</v>
      </c>
      <c r="F136" s="2"/>
      <c r="H136" s="106">
        <v>3</v>
      </c>
      <c r="I136" s="393">
        <f t="shared" si="8"/>
        <v>84.401142857142844</v>
      </c>
      <c r="J136" s="105">
        <f t="shared" si="9"/>
        <v>81.849999999999994</v>
      </c>
      <c r="K136" s="412">
        <f t="shared" si="10"/>
        <v>2.5511428571428496</v>
      </c>
    </row>
    <row r="137" spans="1:11" ht="15" customHeight="1" x14ac:dyDescent="0.2">
      <c r="C137" s="106">
        <v>4</v>
      </c>
      <c r="D137" s="105">
        <f t="shared" si="7"/>
        <v>103.5</v>
      </c>
      <c r="E137" s="114">
        <f t="shared" si="11"/>
        <v>103.03257142857143</v>
      </c>
      <c r="F137" s="2"/>
      <c r="H137" s="106">
        <v>4</v>
      </c>
      <c r="I137" s="393">
        <f t="shared" si="8"/>
        <v>103.03257142857143</v>
      </c>
      <c r="J137" s="105">
        <f t="shared" si="9"/>
        <v>103.05</v>
      </c>
      <c r="K137" s="412">
        <f t="shared" si="10"/>
        <v>-1.7428571428567352E-2</v>
      </c>
    </row>
    <row r="138" spans="1:11" ht="15" customHeight="1" x14ac:dyDescent="0.2">
      <c r="C138" s="106">
        <v>5</v>
      </c>
      <c r="D138" s="110">
        <f t="shared" si="7"/>
        <v>117.88</v>
      </c>
      <c r="E138" s="114">
        <f t="shared" si="11"/>
        <v>117.99685714285714</v>
      </c>
      <c r="F138" s="2"/>
      <c r="H138" s="106">
        <v>5</v>
      </c>
      <c r="I138" s="393">
        <f t="shared" si="8"/>
        <v>117.99685714285714</v>
      </c>
      <c r="J138" s="110">
        <f t="shared" si="9"/>
        <v>117.88</v>
      </c>
      <c r="K138" s="411">
        <f t="shared" si="10"/>
        <v>0.11685714285714255</v>
      </c>
    </row>
    <row r="139" spans="1:11" ht="15" customHeight="1" x14ac:dyDescent="0.2">
      <c r="C139" s="106">
        <v>10</v>
      </c>
      <c r="D139" s="105">
        <f t="shared" si="7"/>
        <v>184.11</v>
      </c>
      <c r="E139" s="416"/>
      <c r="F139" s="115">
        <f>(F$126*($C139)^3)+(F$127*($C139)^2)+(F$128*($C139)^1)+(F$129)</f>
        <v>184.16228571428584</v>
      </c>
      <c r="H139" s="106">
        <v>10</v>
      </c>
      <c r="I139" s="393">
        <f>F139</f>
        <v>184.16228571428584</v>
      </c>
      <c r="J139" s="105">
        <f t="shared" si="9"/>
        <v>184.11</v>
      </c>
      <c r="K139" s="412">
        <f t="shared" si="10"/>
        <v>5.2285714285829954E-2</v>
      </c>
    </row>
    <row r="140" spans="1:11" ht="15" customHeight="1" x14ac:dyDescent="0.2">
      <c r="C140" s="106">
        <v>20</v>
      </c>
      <c r="D140" s="105">
        <f t="shared" si="7"/>
        <v>296.42</v>
      </c>
      <c r="E140" s="2"/>
      <c r="F140" s="115">
        <f t="shared" ref="F140:F143" si="12">(F$126*($C140)^3)+(F$127*($C140)^2)+(F$128*($C140)^1)+(F$129)</f>
        <v>296.21085714285726</v>
      </c>
      <c r="H140" s="106">
        <v>20</v>
      </c>
      <c r="I140" s="393">
        <f t="shared" ref="I140:I143" si="13">F140</f>
        <v>296.21085714285726</v>
      </c>
      <c r="J140" s="105">
        <f t="shared" si="9"/>
        <v>296.42</v>
      </c>
      <c r="K140" s="412">
        <f t="shared" si="10"/>
        <v>-0.20914285714275138</v>
      </c>
    </row>
    <row r="141" spans="1:11" ht="15" customHeight="1" x14ac:dyDescent="0.2">
      <c r="B141" s="28" t="s">
        <v>297</v>
      </c>
      <c r="C141" s="106">
        <v>30</v>
      </c>
      <c r="D141" s="105">
        <f t="shared" si="7"/>
        <v>395.5</v>
      </c>
      <c r="E141" s="2"/>
      <c r="F141" s="115">
        <f t="shared" si="12"/>
        <v>395.81371428571435</v>
      </c>
      <c r="H141" s="106">
        <v>30</v>
      </c>
      <c r="I141" s="393">
        <f t="shared" si="13"/>
        <v>395.81371428571435</v>
      </c>
      <c r="J141" s="105">
        <f t="shared" si="9"/>
        <v>395.5</v>
      </c>
      <c r="K141" s="412">
        <f t="shared" si="10"/>
        <v>0.31371428571435445</v>
      </c>
    </row>
    <row r="142" spans="1:11" ht="15" customHeight="1" x14ac:dyDescent="0.2">
      <c r="C142" s="106">
        <v>40</v>
      </c>
      <c r="D142" s="105">
        <f t="shared" si="7"/>
        <v>487.68</v>
      </c>
      <c r="E142" s="2"/>
      <c r="F142" s="115">
        <f t="shared" si="12"/>
        <v>487.47085714285714</v>
      </c>
      <c r="H142" s="106">
        <v>40</v>
      </c>
      <c r="I142" s="393">
        <f t="shared" si="13"/>
        <v>487.47085714285714</v>
      </c>
      <c r="J142" s="105">
        <f t="shared" si="9"/>
        <v>487.68</v>
      </c>
      <c r="K142" s="412">
        <f t="shared" si="10"/>
        <v>-0.20914285714286507</v>
      </c>
    </row>
    <row r="143" spans="1:11" ht="15" customHeight="1" x14ac:dyDescent="0.2">
      <c r="C143" s="106">
        <v>50</v>
      </c>
      <c r="D143" s="110">
        <f t="shared" si="7"/>
        <v>575.63</v>
      </c>
      <c r="E143" s="2"/>
      <c r="F143" s="115">
        <f t="shared" si="12"/>
        <v>575.68228571428574</v>
      </c>
      <c r="H143" s="106">
        <v>50</v>
      </c>
      <c r="I143" s="394">
        <f t="shared" si="13"/>
        <v>575.68228571428574</v>
      </c>
      <c r="J143" s="110">
        <f t="shared" si="9"/>
        <v>575.63</v>
      </c>
      <c r="K143" s="411">
        <f t="shared" si="10"/>
        <v>5.2285714285744689E-2</v>
      </c>
    </row>
    <row r="144" spans="1:11" ht="15" customHeight="1" x14ac:dyDescent="0.2">
      <c r="I144" s="38"/>
    </row>
    <row r="145" spans="1:21" ht="15" customHeight="1" x14ac:dyDescent="0.2">
      <c r="D145" s="602">
        <f>D135/D134</f>
        <v>1.8394658753709199</v>
      </c>
      <c r="E145" s="603">
        <f>D138/D135</f>
        <v>1.9015970317793192</v>
      </c>
    </row>
    <row r="146" spans="1:21" ht="15" customHeight="1" x14ac:dyDescent="0.2"/>
    <row r="147" spans="1:21" ht="15" customHeight="1" x14ac:dyDescent="0.2">
      <c r="I147" s="38"/>
    </row>
    <row r="148" spans="1:21" ht="15" customHeight="1" x14ac:dyDescent="0.2">
      <c r="A148" s="64" t="s">
        <v>75</v>
      </c>
      <c r="B148" s="64" t="s">
        <v>73</v>
      </c>
    </row>
    <row r="149" spans="1:21" ht="15" customHeight="1" x14ac:dyDescent="0.2">
      <c r="A149" s="64"/>
      <c r="B149" s="64"/>
    </row>
    <row r="150" spans="1:21" ht="15" customHeight="1" x14ac:dyDescent="0.2">
      <c r="A150" s="64"/>
      <c r="B150" s="64" t="s">
        <v>76</v>
      </c>
    </row>
    <row r="151" spans="1:21" ht="15" customHeight="1" x14ac:dyDescent="0.2">
      <c r="A151" s="64"/>
      <c r="B151" s="64"/>
      <c r="L151" s="64" t="s">
        <v>580</v>
      </c>
    </row>
    <row r="152" spans="1:21" ht="15" customHeight="1" x14ac:dyDescent="0.2">
      <c r="I152" s="38"/>
      <c r="J152" s="764" t="s">
        <v>490</v>
      </c>
      <c r="K152" s="251"/>
      <c r="L152" s="765" t="s">
        <v>489</v>
      </c>
      <c r="U152" s="844" t="s">
        <v>579</v>
      </c>
    </row>
    <row r="153" spans="1:21" ht="15" customHeight="1" x14ac:dyDescent="0.2">
      <c r="G153" s="368"/>
      <c r="H153" s="369" t="s">
        <v>35</v>
      </c>
      <c r="I153" s="38"/>
      <c r="J153" s="727"/>
      <c r="M153" t="s">
        <v>94</v>
      </c>
      <c r="U153" s="843" t="s">
        <v>578</v>
      </c>
    </row>
    <row r="154" spans="1:21"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1" ht="15" customHeight="1" x14ac:dyDescent="0.2">
      <c r="B155" s="133"/>
      <c r="C155" s="117" t="s">
        <v>32</v>
      </c>
      <c r="D155" s="392" t="s">
        <v>33</v>
      </c>
      <c r="E155" s="392" t="s">
        <v>35</v>
      </c>
      <c r="F155" s="521" t="s">
        <v>576</v>
      </c>
      <c r="G155" s="370" t="s">
        <v>35</v>
      </c>
      <c r="H155" s="371" t="s">
        <v>286</v>
      </c>
      <c r="J155" s="483" t="str">
        <f>E57</f>
        <v xml:space="preserve"> 5-8-13</v>
      </c>
      <c r="K155" s="148" t="s">
        <v>77</v>
      </c>
      <c r="M155" s="102" t="s">
        <v>52</v>
      </c>
      <c r="N155" s="514" t="s">
        <v>382</v>
      </c>
      <c r="U155" s="521" t="s">
        <v>577</v>
      </c>
    </row>
    <row r="156" spans="1:21"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1" ht="15" customHeight="1" x14ac:dyDescent="0.2">
      <c r="B157" s="106">
        <v>1</v>
      </c>
      <c r="C157" s="119">
        <f>D157+E157</f>
        <v>35.533857142857137</v>
      </c>
      <c r="D157" s="119">
        <f t="shared" ref="D157:D166" si="14">I134</f>
        <v>33.816857142857138</v>
      </c>
      <c r="E157" s="118">
        <v>1.7170000000000001</v>
      </c>
      <c r="F157" s="152">
        <f>E157/C157</f>
        <v>4.8320113211946764E-2</v>
      </c>
      <c r="G157" s="374">
        <f t="shared" ref="G157:G166" si="15">G30</f>
        <v>1.42</v>
      </c>
      <c r="H157" s="375">
        <f>E157-G157</f>
        <v>0.29700000000000015</v>
      </c>
      <c r="J157" s="402">
        <f>E59</f>
        <v>4.8333333333333332E-2</v>
      </c>
      <c r="K157" s="150">
        <f t="shared" ref="K157:K166" si="16">J157-F157</f>
        <v>1.3220121386568751E-5</v>
      </c>
      <c r="M157" s="402">
        <f t="shared" ref="M157:M166" si="17">C157/D157</f>
        <v>1.0507734941998497</v>
      </c>
      <c r="N157" s="143">
        <f t="shared" ref="N157:N166" si="18">D157*M157</f>
        <v>35.533857142857137</v>
      </c>
      <c r="O157" s="287">
        <f t="shared" ref="O157:O166" si="19">N157-C157</f>
        <v>0</v>
      </c>
      <c r="P157" s="288">
        <f t="shared" ref="P157:P166" si="20">J157/F157</f>
        <v>1.0002735945863492</v>
      </c>
      <c r="Q157" s="289">
        <f t="shared" ref="Q157:Q166" si="21">P157*E157</f>
        <v>1.7174697619047616</v>
      </c>
      <c r="R157" s="267" t="s">
        <v>200</v>
      </c>
      <c r="U157" s="152">
        <f>E157/D157</f>
        <v>5.0773494199849618E-2</v>
      </c>
    </row>
    <row r="158" spans="1:21" ht="15" customHeight="1" x14ac:dyDescent="0.2">
      <c r="B158" s="106">
        <v>2</v>
      </c>
      <c r="C158" s="120">
        <f t="shared" ref="C158:C166" si="22">D158+E158</f>
        <v>65.217571428571404</v>
      </c>
      <c r="D158" s="120">
        <f t="shared" si="14"/>
        <v>61.522571428571403</v>
      </c>
      <c r="E158" s="118">
        <v>3.6949999999999998</v>
      </c>
      <c r="F158" s="153">
        <f t="shared" ref="F158:F166" si="23">E158/C158</f>
        <v>5.665651018678141E-2</v>
      </c>
      <c r="G158" s="376">
        <f t="shared" si="15"/>
        <v>3.75</v>
      </c>
      <c r="H158" s="377">
        <f t="shared" ref="H158:H166" si="24">E158-G158</f>
        <v>-5.500000000000016E-2</v>
      </c>
      <c r="J158" s="402">
        <f t="shared" ref="J158:J166" si="25">E60</f>
        <v>5.6666666666666671E-2</v>
      </c>
      <c r="K158" s="150">
        <f t="shared" si="16"/>
        <v>1.015647988526075E-5</v>
      </c>
      <c r="M158" s="402">
        <f t="shared" si="17"/>
        <v>1.060059258158446</v>
      </c>
      <c r="N158" s="144">
        <f t="shared" si="18"/>
        <v>65.217571428571404</v>
      </c>
      <c r="O158" s="287">
        <f t="shared" si="19"/>
        <v>0</v>
      </c>
      <c r="P158" s="288">
        <f t="shared" si="20"/>
        <v>1.0001792641278431</v>
      </c>
      <c r="Q158" s="290">
        <f t="shared" si="21"/>
        <v>3.6956623809523799</v>
      </c>
      <c r="R158" s="267" t="s">
        <v>312</v>
      </c>
      <c r="U158" s="152">
        <f t="shared" ref="U158:U166" si="26">E158/D158</f>
        <v>6.0059258158445934E-2</v>
      </c>
    </row>
    <row r="159" spans="1:21" ht="15" customHeight="1" x14ac:dyDescent="0.2">
      <c r="B159" s="106">
        <v>3</v>
      </c>
      <c r="C159" s="121">
        <f t="shared" si="22"/>
        <v>90.29614285714284</v>
      </c>
      <c r="D159" s="121">
        <f t="shared" si="14"/>
        <v>84.401142857142844</v>
      </c>
      <c r="E159" s="118">
        <v>5.8949999999999996</v>
      </c>
      <c r="F159" s="154">
        <f t="shared" si="23"/>
        <v>6.5285180667422921E-2</v>
      </c>
      <c r="G159" s="378">
        <f t="shared" si="15"/>
        <v>6.27</v>
      </c>
      <c r="H159" s="379">
        <f t="shared" si="24"/>
        <v>-0.375</v>
      </c>
      <c r="J159" s="402">
        <f t="shared" si="25"/>
        <v>6.5333333333333327E-2</v>
      </c>
      <c r="K159" s="150">
        <f t="shared" si="16"/>
        <v>4.8152665910405901E-5</v>
      </c>
      <c r="M159" s="402">
        <f t="shared" si="17"/>
        <v>1.0698450257951821</v>
      </c>
      <c r="N159" s="145">
        <f t="shared" si="18"/>
        <v>90.29614285714284</v>
      </c>
      <c r="O159" s="287">
        <f t="shared" si="19"/>
        <v>0</v>
      </c>
      <c r="P159" s="288">
        <f t="shared" si="20"/>
        <v>1.0007375742154365</v>
      </c>
      <c r="Q159" s="288">
        <f t="shared" si="21"/>
        <v>5.899347999999998</v>
      </c>
      <c r="R159" s="267" t="s">
        <v>143</v>
      </c>
      <c r="U159" s="152">
        <f t="shared" si="26"/>
        <v>6.9845025795182203E-2</v>
      </c>
    </row>
    <row r="160" spans="1:21" ht="15" customHeight="1" x14ac:dyDescent="0.2">
      <c r="B160" s="106">
        <v>4</v>
      </c>
      <c r="C160" s="121">
        <f t="shared" si="22"/>
        <v>111.34457142857143</v>
      </c>
      <c r="D160" s="121">
        <f t="shared" si="14"/>
        <v>103.03257142857143</v>
      </c>
      <c r="E160" s="118">
        <v>8.3119999999999994</v>
      </c>
      <c r="F160" s="154">
        <f t="shared" si="23"/>
        <v>7.465114727512534E-2</v>
      </c>
      <c r="G160" s="378">
        <f t="shared" si="15"/>
        <v>8.7200000000000006</v>
      </c>
      <c r="H160" s="379">
        <f t="shared" si="24"/>
        <v>-0.40800000000000125</v>
      </c>
      <c r="J160" s="402">
        <f t="shared" si="25"/>
        <v>7.4666666666666673E-2</v>
      </c>
      <c r="K160" s="150">
        <f t="shared" si="16"/>
        <v>1.5519391541332639E-5</v>
      </c>
      <c r="M160" s="402">
        <f t="shared" si="17"/>
        <v>1.0806735179443949</v>
      </c>
      <c r="N160" s="145">
        <f t="shared" si="18"/>
        <v>111.34457142857144</v>
      </c>
      <c r="O160" s="287">
        <f t="shared" si="19"/>
        <v>0</v>
      </c>
      <c r="P160" s="288">
        <f t="shared" si="20"/>
        <v>1.0002078922040425</v>
      </c>
      <c r="Q160" s="288">
        <f t="shared" si="21"/>
        <v>8.3137280000000011</v>
      </c>
      <c r="R160" s="88" t="s">
        <v>142</v>
      </c>
      <c r="U160" s="152">
        <f t="shared" si="26"/>
        <v>8.0673517944394826E-2</v>
      </c>
    </row>
    <row r="161" spans="1:21" ht="15" customHeight="1" x14ac:dyDescent="0.2">
      <c r="B161" s="106">
        <v>5</v>
      </c>
      <c r="C161" s="120">
        <f t="shared" si="22"/>
        <v>128.63385714285715</v>
      </c>
      <c r="D161" s="120">
        <f t="shared" si="14"/>
        <v>117.99685714285714</v>
      </c>
      <c r="E161" s="118">
        <v>10.637</v>
      </c>
      <c r="F161" s="153">
        <f t="shared" si="23"/>
        <v>8.2692070627928438E-2</v>
      </c>
      <c r="G161" s="376">
        <f t="shared" si="15"/>
        <v>11.2</v>
      </c>
      <c r="H161" s="377">
        <f t="shared" si="24"/>
        <v>-0.56299999999999883</v>
      </c>
      <c r="J161" s="402">
        <f t="shared" si="25"/>
        <v>8.2666666666666666E-2</v>
      </c>
      <c r="K161" s="150">
        <f t="shared" si="16"/>
        <v>-2.5403961261771801E-5</v>
      </c>
      <c r="M161" s="402">
        <f t="shared" si="17"/>
        <v>1.0901464687921472</v>
      </c>
      <c r="N161" s="144">
        <f t="shared" si="18"/>
        <v>128.63385714285715</v>
      </c>
      <c r="O161" s="287">
        <f t="shared" si="19"/>
        <v>0</v>
      </c>
      <c r="P161" s="288">
        <f t="shared" si="20"/>
        <v>0.9996927884249498</v>
      </c>
      <c r="Q161" s="290">
        <f t="shared" si="21"/>
        <v>10.633732190476191</v>
      </c>
      <c r="U161" s="152">
        <f t="shared" si="26"/>
        <v>9.0146468792147008E-2</v>
      </c>
    </row>
    <row r="162" spans="1:21" ht="15" customHeight="1" x14ac:dyDescent="0.2">
      <c r="B162" s="106">
        <v>10</v>
      </c>
      <c r="C162" s="121">
        <f t="shared" si="22"/>
        <v>206.93428571428583</v>
      </c>
      <c r="D162" s="121">
        <f t="shared" si="14"/>
        <v>184.16228571428584</v>
      </c>
      <c r="E162" s="118">
        <v>22.771999999999998</v>
      </c>
      <c r="F162" s="154">
        <f>E162/C162</f>
        <v>0.11004459662832915</v>
      </c>
      <c r="G162" s="378">
        <f t="shared" si="15"/>
        <v>22.88</v>
      </c>
      <c r="H162" s="379">
        <f t="shared" si="24"/>
        <v>-0.10800000000000054</v>
      </c>
      <c r="J162" s="402">
        <f t="shared" si="25"/>
        <v>0.11</v>
      </c>
      <c r="K162" s="150">
        <f t="shared" si="16"/>
        <v>-4.459662832914657E-5</v>
      </c>
      <c r="M162" s="402">
        <f t="shared" si="17"/>
        <v>1.123651810204664</v>
      </c>
      <c r="N162" s="145">
        <f t="shared" si="18"/>
        <v>206.93428571428581</v>
      </c>
      <c r="O162" s="287">
        <f t="shared" si="19"/>
        <v>0</v>
      </c>
      <c r="P162" s="288">
        <f t="shared" si="20"/>
        <v>0.99959474040802054</v>
      </c>
      <c r="Q162" s="288">
        <f t="shared" si="21"/>
        <v>22.762771428571444</v>
      </c>
      <c r="U162" s="152">
        <f t="shared" si="26"/>
        <v>0.12365181020466412</v>
      </c>
    </row>
    <row r="163" spans="1:21" ht="15" customHeight="1" x14ac:dyDescent="0.2">
      <c r="B163" s="106">
        <v>20</v>
      </c>
      <c r="C163" s="121">
        <f t="shared" si="22"/>
        <v>340.48685714285727</v>
      </c>
      <c r="D163" s="121">
        <f t="shared" si="14"/>
        <v>296.21085714285726</v>
      </c>
      <c r="E163" s="118">
        <v>44.276000000000003</v>
      </c>
      <c r="F163" s="154">
        <f t="shared" si="23"/>
        <v>0.13003732470479243</v>
      </c>
      <c r="G163" s="378">
        <f t="shared" si="15"/>
        <v>41.61</v>
      </c>
      <c r="H163" s="379">
        <f t="shared" si="24"/>
        <v>2.6660000000000039</v>
      </c>
      <c r="J163" s="402">
        <f t="shared" si="25"/>
        <v>0.13</v>
      </c>
      <c r="K163" s="150">
        <f t="shared" si="16"/>
        <v>-3.7324704792424113E-5</v>
      </c>
      <c r="M163" s="402">
        <f t="shared" si="17"/>
        <v>1.1494746020691824</v>
      </c>
      <c r="N163" s="145">
        <f t="shared" si="18"/>
        <v>340.48685714285727</v>
      </c>
      <c r="O163" s="287">
        <f t="shared" si="19"/>
        <v>0</v>
      </c>
      <c r="P163" s="288">
        <f t="shared" si="20"/>
        <v>0.99971296929649112</v>
      </c>
      <c r="Q163" s="288">
        <f t="shared" si="21"/>
        <v>44.263291428571442</v>
      </c>
      <c r="U163" s="152">
        <f t="shared" si="26"/>
        <v>0.14947460206918234</v>
      </c>
    </row>
    <row r="164" spans="1:21" ht="15" customHeight="1" x14ac:dyDescent="0.2">
      <c r="B164" s="106">
        <v>30</v>
      </c>
      <c r="C164" s="121">
        <f>D164+E164</f>
        <v>454.96471428571436</v>
      </c>
      <c r="D164" s="121">
        <f t="shared" si="14"/>
        <v>395.81371428571435</v>
      </c>
      <c r="E164" s="118">
        <v>59.151000000000003</v>
      </c>
      <c r="F164" s="154">
        <f t="shared" si="23"/>
        <v>0.13001228038720741</v>
      </c>
      <c r="G164" s="378">
        <f t="shared" si="15"/>
        <v>56.68</v>
      </c>
      <c r="H164" s="379">
        <f t="shared" si="24"/>
        <v>2.4710000000000036</v>
      </c>
      <c r="J164" s="402">
        <f t="shared" si="25"/>
        <v>0.13</v>
      </c>
      <c r="K164" s="150">
        <f t="shared" si="16"/>
        <v>-1.2280387207408427E-5</v>
      </c>
      <c r="M164" s="402">
        <f t="shared" si="17"/>
        <v>1.1494415121687835</v>
      </c>
      <c r="N164" s="145">
        <f t="shared" si="18"/>
        <v>454.96471428571436</v>
      </c>
      <c r="O164" s="287">
        <f t="shared" si="19"/>
        <v>0</v>
      </c>
      <c r="P164" s="288">
        <f t="shared" si="20"/>
        <v>0.99990554440572199</v>
      </c>
      <c r="Q164" s="288">
        <f t="shared" si="21"/>
        <v>59.145412857142865</v>
      </c>
      <c r="U164" s="152">
        <f t="shared" si="26"/>
        <v>0.14944151216878357</v>
      </c>
    </row>
    <row r="165" spans="1:21" ht="15" customHeight="1" x14ac:dyDescent="0.2">
      <c r="B165" s="106">
        <v>40</v>
      </c>
      <c r="C165" s="121">
        <f t="shared" si="22"/>
        <v>560.32285714285717</v>
      </c>
      <c r="D165" s="121">
        <f t="shared" si="14"/>
        <v>487.47085714285714</v>
      </c>
      <c r="E165" s="118">
        <v>72.852000000000004</v>
      </c>
      <c r="F165" s="154">
        <f t="shared" si="23"/>
        <v>0.13001789784460999</v>
      </c>
      <c r="G165" s="378">
        <f t="shared" si="15"/>
        <v>69.06</v>
      </c>
      <c r="H165" s="379">
        <f t="shared" si="24"/>
        <v>3.7920000000000016</v>
      </c>
      <c r="J165" s="402">
        <f t="shared" si="25"/>
        <v>0.13</v>
      </c>
      <c r="K165" s="150">
        <f t="shared" si="16"/>
        <v>-1.7897844609982005E-5</v>
      </c>
      <c r="M165" s="402">
        <f t="shared" si="17"/>
        <v>1.1494489340901259</v>
      </c>
      <c r="N165" s="145">
        <f t="shared" si="18"/>
        <v>560.32285714285717</v>
      </c>
      <c r="O165" s="287">
        <f t="shared" si="19"/>
        <v>0</v>
      </c>
      <c r="P165" s="288">
        <f t="shared" si="20"/>
        <v>0.99986234322422773</v>
      </c>
      <c r="Q165" s="288">
        <f t="shared" si="21"/>
        <v>72.841971428571441</v>
      </c>
      <c r="U165" s="152">
        <f t="shared" si="26"/>
        <v>0.14944893409012583</v>
      </c>
    </row>
    <row r="166" spans="1:21" ht="15" customHeight="1" x14ac:dyDescent="0.2">
      <c r="B166" s="106">
        <v>50</v>
      </c>
      <c r="C166" s="120">
        <f t="shared" si="22"/>
        <v>661.71828571428568</v>
      </c>
      <c r="D166" s="120">
        <f t="shared" si="14"/>
        <v>575.68228571428574</v>
      </c>
      <c r="E166" s="118">
        <v>86.036000000000001</v>
      </c>
      <c r="F166" s="153">
        <f t="shared" si="23"/>
        <v>0.13001907587777967</v>
      </c>
      <c r="G166" s="380">
        <f t="shared" si="15"/>
        <v>80.31</v>
      </c>
      <c r="H166" s="381">
        <f t="shared" si="24"/>
        <v>5.7259999999999991</v>
      </c>
      <c r="J166" s="403">
        <f t="shared" si="25"/>
        <v>0.13</v>
      </c>
      <c r="K166" s="151">
        <f t="shared" si="16"/>
        <v>-1.9075877779661798E-5</v>
      </c>
      <c r="M166" s="403">
        <f t="shared" si="17"/>
        <v>1.149450490548358</v>
      </c>
      <c r="N166" s="146">
        <f t="shared" si="18"/>
        <v>661.71828571428568</v>
      </c>
      <c r="O166" s="287">
        <f t="shared" si="19"/>
        <v>0</v>
      </c>
      <c r="P166" s="288">
        <f t="shared" si="20"/>
        <v>0.99985328400735907</v>
      </c>
      <c r="Q166" s="290">
        <f t="shared" si="21"/>
        <v>86.023377142857143</v>
      </c>
      <c r="U166" s="152">
        <f t="shared" si="26"/>
        <v>0.14945049054835802</v>
      </c>
    </row>
    <row r="167" spans="1:21" ht="15" customHeight="1" x14ac:dyDescent="0.2">
      <c r="K167" s="38"/>
    </row>
    <row r="168" spans="1:21" ht="15" customHeight="1" x14ac:dyDescent="0.2">
      <c r="K168" s="38"/>
    </row>
    <row r="169" spans="1:21" ht="15" customHeight="1" x14ac:dyDescent="0.2">
      <c r="A169" s="90" t="s">
        <v>80</v>
      </c>
      <c r="B169" s="64" t="s">
        <v>81</v>
      </c>
      <c r="I169" s="38"/>
    </row>
    <row r="170" spans="1:21" ht="15" customHeight="1" x14ac:dyDescent="0.2">
      <c r="A170" s="90"/>
      <c r="B170" s="28" t="s">
        <v>190</v>
      </c>
      <c r="I170" s="38"/>
    </row>
    <row r="171" spans="1:21" ht="15" customHeight="1" x14ac:dyDescent="0.2">
      <c r="A171" s="90"/>
      <c r="B171" s="28" t="s">
        <v>189</v>
      </c>
      <c r="I171" s="38"/>
    </row>
    <row r="172" spans="1:21" ht="15" customHeight="1" x14ac:dyDescent="0.2">
      <c r="A172" s="90"/>
      <c r="B172" s="28" t="s">
        <v>188</v>
      </c>
      <c r="I172" s="38"/>
    </row>
    <row r="173" spans="1:21" ht="15" customHeight="1" x14ac:dyDescent="0.2">
      <c r="A173" s="90"/>
      <c r="B173" s="28" t="s">
        <v>187</v>
      </c>
      <c r="I173" s="38"/>
    </row>
    <row r="174" spans="1:21" ht="15" customHeight="1" x14ac:dyDescent="0.2">
      <c r="A174" s="90"/>
      <c r="B174" s="28" t="s">
        <v>191</v>
      </c>
      <c r="I174" s="38"/>
    </row>
    <row r="175" spans="1:21" ht="15" customHeight="1" x14ac:dyDescent="0.2">
      <c r="A175" s="90"/>
      <c r="B175" s="28" t="s">
        <v>192</v>
      </c>
      <c r="I175" s="38"/>
    </row>
    <row r="176" spans="1:21" ht="15" customHeight="1" x14ac:dyDescent="0.2">
      <c r="B176" s="28" t="s">
        <v>193</v>
      </c>
      <c r="I176" s="38"/>
    </row>
    <row r="177" spans="2:24" ht="15" customHeight="1" x14ac:dyDescent="0.2">
      <c r="B177" s="28" t="s">
        <v>492</v>
      </c>
      <c r="I177" s="38"/>
    </row>
    <row r="178" spans="2:24" ht="15" customHeight="1" x14ac:dyDescent="0.2">
      <c r="I178" s="38"/>
      <c r="P178" s="308" t="s">
        <v>154</v>
      </c>
    </row>
    <row r="179" spans="2:24" ht="15" customHeight="1" x14ac:dyDescent="0.2">
      <c r="I179" s="441" t="str">
        <f>IF($B$12="12sxf450-psh","calc gas force = 73c, linear = 77","calc gas force = 69c, linear = 73")</f>
        <v>calc gas force = 69c, linear = 73</v>
      </c>
      <c r="M179" s="307" t="s">
        <v>152</v>
      </c>
    </row>
    <row r="180" spans="2:24" ht="15" customHeight="1" x14ac:dyDescent="0.2">
      <c r="D180" s="214" t="s">
        <v>163</v>
      </c>
      <c r="I180" s="38"/>
      <c r="P180" s="804" t="s">
        <v>540</v>
      </c>
    </row>
    <row r="181" spans="2:24" ht="15" customHeight="1" x14ac:dyDescent="0.2">
      <c r="C181" s="27" t="s">
        <v>457</v>
      </c>
      <c r="F181" s="38"/>
      <c r="G181" s="38"/>
      <c r="H181" s="38"/>
      <c r="I181" s="38"/>
      <c r="J181" s="359" t="s">
        <v>269</v>
      </c>
      <c r="K181" s="214"/>
      <c r="L181" s="214"/>
      <c r="M181" s="117" t="s">
        <v>194</v>
      </c>
      <c r="O181" s="38"/>
      <c r="P181" s="503" t="s">
        <v>374</v>
      </c>
      <c r="Q181" s="38"/>
    </row>
    <row r="182" spans="2:24" ht="15" customHeight="1" x14ac:dyDescent="0.2">
      <c r="B182" s="116"/>
      <c r="C182" s="91" t="s">
        <v>56</v>
      </c>
      <c r="D182" s="91" t="s">
        <v>56</v>
      </c>
      <c r="E182" s="205" t="s">
        <v>56</v>
      </c>
      <c r="F182" s="199" t="s">
        <v>56</v>
      </c>
      <c r="G182" s="199" t="s">
        <v>56</v>
      </c>
      <c r="H182" s="253" t="str">
        <f>J155</f>
        <v xml:space="preserve"> 5-8-13</v>
      </c>
      <c r="I182" s="117" t="s">
        <v>34</v>
      </c>
      <c r="J182" s="309" t="s">
        <v>103</v>
      </c>
      <c r="K182" s="309" t="s">
        <v>104</v>
      </c>
      <c r="L182" s="91" t="s">
        <v>22</v>
      </c>
      <c r="M182" s="117" t="s">
        <v>22</v>
      </c>
      <c r="O182" s="91" t="s">
        <v>34</v>
      </c>
      <c r="P182" s="91" t="s">
        <v>34</v>
      </c>
      <c r="Q182" s="205" t="s">
        <v>34</v>
      </c>
      <c r="R182" s="426" t="s">
        <v>290</v>
      </c>
      <c r="S182" s="427" t="s">
        <v>289</v>
      </c>
    </row>
    <row r="183" spans="2:24"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4"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4" ht="15" customHeight="1" x14ac:dyDescent="0.2">
      <c r="B185" s="106">
        <v>1</v>
      </c>
      <c r="C185" s="119">
        <f>(D185-J185)</f>
        <v>53.53385714285713</v>
      </c>
      <c r="D185" s="698">
        <f>(F185+G185+M185+L185)+$E$179</f>
        <v>122.53385714285713</v>
      </c>
      <c r="E185" s="119">
        <f>F185+G185</f>
        <v>35.533857142857137</v>
      </c>
      <c r="F185" s="119">
        <f t="shared" ref="F185:G194" si="27">D157</f>
        <v>33.816857142857138</v>
      </c>
      <c r="G185" s="175">
        <f t="shared" si="27"/>
        <v>1.7170000000000001</v>
      </c>
      <c r="H185" s="155">
        <f>G185/E185</f>
        <v>4.8320113211946764E-2</v>
      </c>
      <c r="I185" s="119">
        <f>O185</f>
        <v>73.400000000000006</v>
      </c>
      <c r="J185" s="694">
        <v>69</v>
      </c>
      <c r="K185" s="690">
        <v>4</v>
      </c>
      <c r="L185" s="507">
        <f>P185</f>
        <v>14</v>
      </c>
      <c r="M185" s="497">
        <v>73</v>
      </c>
      <c r="O185" s="417">
        <v>73.400000000000006</v>
      </c>
      <c r="P185" s="766">
        <v>14</v>
      </c>
      <c r="Q185" s="422">
        <v>119</v>
      </c>
      <c r="R185" s="432">
        <f>D185-Q185</f>
        <v>3.5338571428571299</v>
      </c>
      <c r="S185" s="433">
        <f t="shared" ref="S185:S194" si="28">G185-G30</f>
        <v>0.29700000000000015</v>
      </c>
      <c r="T185" s="420">
        <v>13.9</v>
      </c>
      <c r="W185">
        <v>42</v>
      </c>
      <c r="X185">
        <v>37</v>
      </c>
    </row>
    <row r="186" spans="2:24" ht="15" customHeight="1" x14ac:dyDescent="0.2">
      <c r="B186" s="106">
        <v>2</v>
      </c>
      <c r="C186" s="120">
        <f t="shared" ref="C186:C193" si="29">(D186-J186)</f>
        <v>83.217571428571404</v>
      </c>
      <c r="D186" s="699">
        <f t="shared" ref="D186:D193" si="30">(F186+G186+M186+L186)+$E$179</f>
        <v>152.2175714285714</v>
      </c>
      <c r="E186" s="120">
        <f t="shared" ref="E186:E191" si="31">F186+G186</f>
        <v>65.217571428571404</v>
      </c>
      <c r="F186" s="120">
        <f t="shared" si="27"/>
        <v>61.522571428571403</v>
      </c>
      <c r="G186" s="176">
        <f t="shared" si="27"/>
        <v>3.6949999999999998</v>
      </c>
      <c r="H186" s="156">
        <f t="shared" ref="H186:H194" si="32">G186/E186</f>
        <v>5.665651018678141E-2</v>
      </c>
      <c r="I186" s="120">
        <f t="shared" ref="I186:I194" si="33">O186</f>
        <v>73.3</v>
      </c>
      <c r="J186" s="695">
        <f>J185</f>
        <v>69</v>
      </c>
      <c r="K186" s="691">
        <v>4</v>
      </c>
      <c r="L186" s="506">
        <f>L185</f>
        <v>14</v>
      </c>
      <c r="M186" s="242">
        <v>73</v>
      </c>
      <c r="O186" s="242">
        <v>73.3</v>
      </c>
      <c r="P186" s="419">
        <v>18.600000000000001</v>
      </c>
      <c r="Q186" s="423">
        <v>151.30000000000001</v>
      </c>
      <c r="R186" s="434">
        <f t="shared" ref="R186:R194" si="34">D186-Q186</f>
        <v>0.91757142857139229</v>
      </c>
      <c r="S186" s="435">
        <f t="shared" si="28"/>
        <v>-5.500000000000016E-2</v>
      </c>
      <c r="W186">
        <v>57</v>
      </c>
      <c r="X186">
        <v>56</v>
      </c>
    </row>
    <row r="187" spans="2:24" ht="15" customHeight="1" x14ac:dyDescent="0.2">
      <c r="B187" s="106">
        <v>3</v>
      </c>
      <c r="C187" s="121">
        <f t="shared" si="29"/>
        <v>108.29614285714285</v>
      </c>
      <c r="D187" s="700">
        <f>(F187+G187+M187+L187)+$E$179</f>
        <v>177.29614285714285</v>
      </c>
      <c r="E187" s="121">
        <f t="shared" si="31"/>
        <v>90.29614285714284</v>
      </c>
      <c r="F187" s="121">
        <f t="shared" si="27"/>
        <v>84.401142857142844</v>
      </c>
      <c r="G187" s="177">
        <f t="shared" si="27"/>
        <v>5.8949999999999996</v>
      </c>
      <c r="H187" s="157">
        <f t="shared" si="32"/>
        <v>6.5285180667422921E-2</v>
      </c>
      <c r="I187" s="121">
        <f t="shared" si="33"/>
        <v>73</v>
      </c>
      <c r="J187" s="696">
        <f t="shared" ref="J187:L194" si="35">J186</f>
        <v>69</v>
      </c>
      <c r="K187" s="692">
        <v>4</v>
      </c>
      <c r="L187" s="318">
        <f t="shared" si="35"/>
        <v>14</v>
      </c>
      <c r="M187" s="243">
        <v>73</v>
      </c>
      <c r="O187" s="243">
        <v>73</v>
      </c>
      <c r="P187" s="243">
        <v>20.5</v>
      </c>
      <c r="Q187" s="424">
        <v>176.5</v>
      </c>
      <c r="R187" s="436">
        <f t="shared" si="34"/>
        <v>0.79614285714285415</v>
      </c>
      <c r="S187" s="437">
        <f t="shared" si="28"/>
        <v>-0.375</v>
      </c>
      <c r="W187">
        <f>SUM(W183:W186)</f>
        <v>330</v>
      </c>
      <c r="X187">
        <v>43</v>
      </c>
    </row>
    <row r="188" spans="2:24" ht="15" customHeight="1" x14ac:dyDescent="0.2">
      <c r="B188" s="106">
        <v>4</v>
      </c>
      <c r="C188" s="121">
        <f t="shared" si="29"/>
        <v>129.34457142857144</v>
      </c>
      <c r="D188" s="700">
        <f t="shared" si="30"/>
        <v>198.34457142857144</v>
      </c>
      <c r="E188" s="121">
        <f t="shared" si="31"/>
        <v>111.34457142857143</v>
      </c>
      <c r="F188" s="121">
        <f t="shared" si="27"/>
        <v>103.03257142857143</v>
      </c>
      <c r="G188" s="177">
        <f t="shared" si="27"/>
        <v>8.3119999999999994</v>
      </c>
      <c r="H188" s="157">
        <f t="shared" si="32"/>
        <v>7.465114727512534E-2</v>
      </c>
      <c r="I188" s="121">
        <f t="shared" si="33"/>
        <v>73.099999999999994</v>
      </c>
      <c r="J188" s="696">
        <f t="shared" si="35"/>
        <v>69</v>
      </c>
      <c r="K188" s="692">
        <v>4</v>
      </c>
      <c r="L188" s="318">
        <f t="shared" si="35"/>
        <v>14</v>
      </c>
      <c r="M188" s="243">
        <v>73</v>
      </c>
      <c r="O188" s="243">
        <v>73.099999999999994</v>
      </c>
      <c r="P188" s="243">
        <v>19.8</v>
      </c>
      <c r="Q188" s="424">
        <v>196.3</v>
      </c>
      <c r="R188" s="436">
        <f t="shared" si="34"/>
        <v>2.0445714285714303</v>
      </c>
      <c r="S188" s="437">
        <f t="shared" si="28"/>
        <v>-0.40800000000000125</v>
      </c>
      <c r="X188">
        <f>SUM(X183:X187)</f>
        <v>367</v>
      </c>
    </row>
    <row r="189" spans="2:24" ht="15" customHeight="1" x14ac:dyDescent="0.2">
      <c r="B189" s="106">
        <v>5</v>
      </c>
      <c r="C189" s="120">
        <f t="shared" si="29"/>
        <v>146.63385714285715</v>
      </c>
      <c r="D189" s="699">
        <f t="shared" si="30"/>
        <v>215.63385714285715</v>
      </c>
      <c r="E189" s="120">
        <f t="shared" si="31"/>
        <v>128.63385714285715</v>
      </c>
      <c r="F189" s="120">
        <f t="shared" si="27"/>
        <v>117.99685714285714</v>
      </c>
      <c r="G189" s="176">
        <f t="shared" si="27"/>
        <v>10.637</v>
      </c>
      <c r="H189" s="156">
        <f t="shared" si="32"/>
        <v>8.2692070627928438E-2</v>
      </c>
      <c r="I189" s="120">
        <f t="shared" si="33"/>
        <v>73.099999999999994</v>
      </c>
      <c r="J189" s="695">
        <f t="shared" si="35"/>
        <v>69</v>
      </c>
      <c r="K189" s="691">
        <v>4</v>
      </c>
      <c r="L189" s="317">
        <f t="shared" si="35"/>
        <v>14</v>
      </c>
      <c r="M189" s="242">
        <v>73</v>
      </c>
      <c r="O189" s="242">
        <v>73.099999999999994</v>
      </c>
      <c r="P189" s="242">
        <v>20</v>
      </c>
      <c r="Q189" s="423">
        <v>216.2</v>
      </c>
      <c r="R189" s="434">
        <f t="shared" si="34"/>
        <v>-0.56614285714283596</v>
      </c>
      <c r="S189" s="435">
        <f t="shared" si="28"/>
        <v>-0.56299999999999883</v>
      </c>
    </row>
    <row r="190" spans="2:24" ht="15" customHeight="1" x14ac:dyDescent="0.2">
      <c r="B190" s="106">
        <v>10</v>
      </c>
      <c r="C190" s="121">
        <f t="shared" si="29"/>
        <v>224.93428571428581</v>
      </c>
      <c r="D190" s="700">
        <f t="shared" si="30"/>
        <v>293.93428571428581</v>
      </c>
      <c r="E190" s="121">
        <f t="shared" si="31"/>
        <v>206.93428571428583</v>
      </c>
      <c r="F190" s="121">
        <f t="shared" si="27"/>
        <v>184.16228571428584</v>
      </c>
      <c r="G190" s="177">
        <f t="shared" si="27"/>
        <v>22.771999999999998</v>
      </c>
      <c r="H190" s="157">
        <f t="shared" si="32"/>
        <v>0.11004459662832915</v>
      </c>
      <c r="I190" s="121">
        <f t="shared" si="33"/>
        <v>73.099999999999994</v>
      </c>
      <c r="J190" s="696">
        <f t="shared" si="35"/>
        <v>69</v>
      </c>
      <c r="K190" s="692">
        <v>4</v>
      </c>
      <c r="L190" s="318">
        <f t="shared" si="35"/>
        <v>14</v>
      </c>
      <c r="M190" s="243">
        <v>73</v>
      </c>
      <c r="O190" s="243">
        <v>73.099999999999994</v>
      </c>
      <c r="P190" s="243">
        <v>17.899999999999999</v>
      </c>
      <c r="Q190" s="424">
        <v>296.3</v>
      </c>
      <c r="R190" s="436">
        <f t="shared" si="34"/>
        <v>-2.3657142857142048</v>
      </c>
      <c r="S190" s="437">
        <f t="shared" si="28"/>
        <v>-0.10800000000000054</v>
      </c>
    </row>
    <row r="191" spans="2:24" ht="15" customHeight="1" x14ac:dyDescent="0.2">
      <c r="B191" s="106">
        <v>20</v>
      </c>
      <c r="C191" s="121">
        <f t="shared" si="29"/>
        <v>358.48685714285727</v>
      </c>
      <c r="D191" s="700">
        <f t="shared" si="30"/>
        <v>427.48685714285727</v>
      </c>
      <c r="E191" s="121">
        <f t="shared" si="31"/>
        <v>340.48685714285727</v>
      </c>
      <c r="F191" s="121">
        <f t="shared" si="27"/>
        <v>296.21085714285726</v>
      </c>
      <c r="G191" s="177">
        <f t="shared" si="27"/>
        <v>44.276000000000003</v>
      </c>
      <c r="H191" s="157">
        <f t="shared" si="32"/>
        <v>0.13003732470479243</v>
      </c>
      <c r="I191" s="121">
        <f t="shared" si="33"/>
        <v>73.099999999999994</v>
      </c>
      <c r="J191" s="696">
        <f t="shared" si="35"/>
        <v>69</v>
      </c>
      <c r="K191" s="692">
        <v>4</v>
      </c>
      <c r="L191" s="318">
        <f t="shared" si="35"/>
        <v>14</v>
      </c>
      <c r="M191" s="243">
        <v>73</v>
      </c>
      <c r="O191" s="243">
        <v>73.099999999999994</v>
      </c>
      <c r="P191" s="243">
        <v>13.2</v>
      </c>
      <c r="Q191" s="424">
        <v>435.5</v>
      </c>
      <c r="R191" s="436">
        <f t="shared" si="34"/>
        <v>-8.013142857142725</v>
      </c>
      <c r="S191" s="437">
        <f t="shared" si="28"/>
        <v>2.6660000000000039</v>
      </c>
      <c r="X191">
        <f>367-330</f>
        <v>37</v>
      </c>
    </row>
    <row r="192" spans="2:24" ht="15" customHeight="1" x14ac:dyDescent="0.2">
      <c r="B192" s="106">
        <v>30</v>
      </c>
      <c r="C192" s="121">
        <f t="shared" si="29"/>
        <v>472.96471428571431</v>
      </c>
      <c r="D192" s="700">
        <f t="shared" si="30"/>
        <v>541.96471428571431</v>
      </c>
      <c r="E192" s="121">
        <f>F192+G192</f>
        <v>454.96471428571436</v>
      </c>
      <c r="F192" s="121">
        <f t="shared" si="27"/>
        <v>395.81371428571435</v>
      </c>
      <c r="G192" s="177">
        <f t="shared" si="27"/>
        <v>59.151000000000003</v>
      </c>
      <c r="H192" s="157">
        <f t="shared" si="32"/>
        <v>0.13001228038720741</v>
      </c>
      <c r="I192" s="121">
        <f t="shared" si="33"/>
        <v>73.400000000000006</v>
      </c>
      <c r="J192" s="696">
        <f t="shared" si="35"/>
        <v>69</v>
      </c>
      <c r="K192" s="692">
        <v>4</v>
      </c>
      <c r="L192" s="318">
        <f t="shared" si="35"/>
        <v>14</v>
      </c>
      <c r="M192" s="243">
        <v>73</v>
      </c>
      <c r="O192" s="243">
        <v>73.400000000000006</v>
      </c>
      <c r="P192" s="243">
        <v>12.6</v>
      </c>
      <c r="Q192" s="424">
        <v>565.6</v>
      </c>
      <c r="R192" s="436">
        <f t="shared" si="34"/>
        <v>-23.635285714285715</v>
      </c>
      <c r="S192" s="437">
        <f t="shared" si="28"/>
        <v>2.4710000000000036</v>
      </c>
    </row>
    <row r="193" spans="1:24" ht="15" customHeight="1" x14ac:dyDescent="0.2">
      <c r="B193" s="106">
        <v>40</v>
      </c>
      <c r="C193" s="121">
        <f t="shared" si="29"/>
        <v>579.32285714285717</v>
      </c>
      <c r="D193" s="700">
        <f t="shared" si="30"/>
        <v>648.32285714285717</v>
      </c>
      <c r="E193" s="121">
        <f t="shared" ref="E193:E194" si="36">F193+G193</f>
        <v>560.32285714285717</v>
      </c>
      <c r="F193" s="121">
        <f t="shared" si="27"/>
        <v>487.47085714285714</v>
      </c>
      <c r="G193" s="177">
        <f t="shared" si="27"/>
        <v>72.852000000000004</v>
      </c>
      <c r="H193" s="157">
        <f t="shared" si="32"/>
        <v>0.13001789784460999</v>
      </c>
      <c r="I193" s="121">
        <f t="shared" si="33"/>
        <v>74</v>
      </c>
      <c r="J193" s="696">
        <f t="shared" si="35"/>
        <v>69</v>
      </c>
      <c r="K193" s="692">
        <v>4</v>
      </c>
      <c r="L193" s="318">
        <f t="shared" si="35"/>
        <v>14</v>
      </c>
      <c r="M193" s="243">
        <v>74</v>
      </c>
      <c r="O193" s="243">
        <v>74</v>
      </c>
      <c r="P193" s="243">
        <v>13.9</v>
      </c>
      <c r="Q193" s="424">
        <v>687.4</v>
      </c>
      <c r="R193" s="436">
        <f t="shared" si="34"/>
        <v>-39.077142857142803</v>
      </c>
      <c r="S193" s="437">
        <f t="shared" si="28"/>
        <v>3.7920000000000016</v>
      </c>
      <c r="X193">
        <f>343+37</f>
        <v>380</v>
      </c>
    </row>
    <row r="194" spans="1:24" ht="15" customHeight="1" thickBot="1" x14ac:dyDescent="0.25">
      <c r="B194" s="106">
        <v>50</v>
      </c>
      <c r="C194" s="120">
        <f>(D194-J194)</f>
        <v>681.71828571428568</v>
      </c>
      <c r="D194" s="701">
        <f>(F194+G194+M194+L194)+$E$179</f>
        <v>750.71828571428568</v>
      </c>
      <c r="E194" s="120">
        <f t="shared" si="36"/>
        <v>661.71828571428568</v>
      </c>
      <c r="F194" s="120">
        <f t="shared" si="27"/>
        <v>575.68228571428574</v>
      </c>
      <c r="G194" s="176">
        <f t="shared" si="27"/>
        <v>86.036000000000001</v>
      </c>
      <c r="H194" s="156">
        <f t="shared" si="32"/>
        <v>0.13001907587777967</v>
      </c>
      <c r="I194" s="120">
        <f t="shared" si="33"/>
        <v>75</v>
      </c>
      <c r="J194" s="697">
        <f t="shared" si="35"/>
        <v>69</v>
      </c>
      <c r="K194" s="693">
        <v>4</v>
      </c>
      <c r="L194" s="553">
        <f t="shared" si="35"/>
        <v>14</v>
      </c>
      <c r="M194" s="554">
        <v>75</v>
      </c>
      <c r="O194" s="554">
        <v>75</v>
      </c>
      <c r="P194" s="242">
        <v>16.5</v>
      </c>
      <c r="Q194" s="423">
        <v>803.3</v>
      </c>
      <c r="R194" s="438">
        <f t="shared" si="34"/>
        <v>-52.58171428571427</v>
      </c>
      <c r="S194" s="439">
        <f t="shared" si="28"/>
        <v>5.7259999999999991</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2.52</v>
      </c>
      <c r="E205" s="255">
        <v>1</v>
      </c>
      <c r="F205" s="249">
        <v>1.4594497203263006</v>
      </c>
      <c r="G205" s="122">
        <v>1.4539972840617819</v>
      </c>
      <c r="H205" s="34">
        <f>(D206*2.20462*25.4*12)</f>
        <v>2889.4631567999995</v>
      </c>
      <c r="I205" s="5">
        <f>F205*D$205*SQRT(4*D$207*H$205/32.2)/12</f>
        <v>53.533857142857137</v>
      </c>
      <c r="J205" s="1"/>
      <c r="K205" s="22"/>
      <c r="L205" s="96">
        <v>1</v>
      </c>
      <c r="M205" s="92">
        <f>L205*I205</f>
        <v>53.533857142857137</v>
      </c>
      <c r="N205" s="13"/>
      <c r="O205" s="84">
        <v>1</v>
      </c>
      <c r="P205" s="92">
        <f>C185</f>
        <v>53.53385714285713</v>
      </c>
      <c r="Q205" s="254">
        <f>P205/M205</f>
        <v>0.99999999999999989</v>
      </c>
      <c r="R205" s="254">
        <f>G205*Q205</f>
        <v>1.4539972840617816</v>
      </c>
      <c r="S205" s="267" t="s">
        <v>138</v>
      </c>
    </row>
    <row r="206" spans="1:24" ht="15" customHeight="1" x14ac:dyDescent="0.2">
      <c r="B206" s="259" t="s">
        <v>7</v>
      </c>
      <c r="C206" s="12" t="s">
        <v>10</v>
      </c>
      <c r="D206" s="444">
        <v>4.3</v>
      </c>
      <c r="E206" s="255">
        <v>2</v>
      </c>
      <c r="F206" s="250">
        <v>1.1343462607557264</v>
      </c>
      <c r="G206" s="123">
        <v>1.1316200426234675</v>
      </c>
      <c r="H206" s="35"/>
      <c r="I206" s="5">
        <f t="shared" ref="I206:I214" si="37">F206*D$205*SQRT(4*D$207*H$205/32.2)/12</f>
        <v>41.608785714285695</v>
      </c>
      <c r="J206" s="1"/>
      <c r="K206" s="22"/>
      <c r="L206" s="97">
        <v>2</v>
      </c>
      <c r="M206" s="93">
        <f>L206*I206</f>
        <v>83.217571428571389</v>
      </c>
      <c r="N206" s="13"/>
      <c r="O206" s="84">
        <v>2</v>
      </c>
      <c r="P206" s="93">
        <f t="shared" ref="P206:P214" si="38">C186</f>
        <v>83.217571428571404</v>
      </c>
      <c r="Q206" s="254">
        <f t="shared" ref="Q206:Q214" si="39">P206/M206</f>
        <v>1.0000000000000002</v>
      </c>
      <c r="R206" s="254">
        <f t="shared" ref="R206:R214" si="40">G206*Q206</f>
        <v>1.1316200426234677</v>
      </c>
      <c r="S206" s="267" t="s">
        <v>139</v>
      </c>
    </row>
    <row r="207" spans="1:24" ht="15" customHeight="1" x14ac:dyDescent="0.2">
      <c r="B207" s="261" t="s">
        <v>8</v>
      </c>
      <c r="C207" s="262" t="s">
        <v>15</v>
      </c>
      <c r="D207" s="263">
        <v>85</v>
      </c>
      <c r="E207" s="255">
        <v>3</v>
      </c>
      <c r="F207" s="249">
        <v>0.98412969436957975</v>
      </c>
      <c r="G207" s="122">
        <v>0.98231221561474069</v>
      </c>
      <c r="H207" s="35"/>
      <c r="I207" s="5">
        <f t="shared" si="37"/>
        <v>36.09871428571428</v>
      </c>
      <c r="J207" s="1"/>
      <c r="K207" s="22"/>
      <c r="L207" s="98">
        <v>3</v>
      </c>
      <c r="M207" s="94">
        <f t="shared" ref="M207:M213" si="41">L207*I207</f>
        <v>108.29614285714284</v>
      </c>
      <c r="N207" s="13"/>
      <c r="O207" s="84">
        <v>3</v>
      </c>
      <c r="P207" s="94">
        <f t="shared" si="38"/>
        <v>108.29614285714285</v>
      </c>
      <c r="Q207" s="254">
        <f t="shared" si="39"/>
        <v>1.0000000000000002</v>
      </c>
      <c r="R207" s="254">
        <f t="shared" si="40"/>
        <v>0.98231221561474091</v>
      </c>
    </row>
    <row r="208" spans="1:24" ht="15" customHeight="1" x14ac:dyDescent="0.2">
      <c r="E208" s="30">
        <v>4</v>
      </c>
      <c r="F208" s="249">
        <v>0.88155378984466193</v>
      </c>
      <c r="G208" s="122">
        <v>0.88019068077853269</v>
      </c>
      <c r="H208" s="35"/>
      <c r="I208" s="5">
        <f t="shared" si="37"/>
        <v>32.336142857142853</v>
      </c>
      <c r="J208" s="1"/>
      <c r="K208" s="22"/>
      <c r="L208" s="98">
        <v>4</v>
      </c>
      <c r="M208" s="94">
        <f t="shared" si="41"/>
        <v>129.34457142857141</v>
      </c>
      <c r="N208" s="13"/>
      <c r="O208" s="84">
        <v>4</v>
      </c>
      <c r="P208" s="94">
        <f t="shared" si="38"/>
        <v>129.34457142857144</v>
      </c>
      <c r="Q208" s="254">
        <f t="shared" si="39"/>
        <v>1.0000000000000002</v>
      </c>
      <c r="R208" s="254">
        <f t="shared" si="40"/>
        <v>0.88019068077853291</v>
      </c>
    </row>
    <row r="209" spans="1:19" ht="15" customHeight="1" x14ac:dyDescent="0.2">
      <c r="B209" s="268" t="s">
        <v>132</v>
      </c>
      <c r="E209" s="30">
        <v>5</v>
      </c>
      <c r="F209" s="250">
        <v>0.79951176029192061</v>
      </c>
      <c r="G209" s="123">
        <v>0.798421273039017</v>
      </c>
      <c r="H209" s="35"/>
      <c r="I209" s="5">
        <f t="shared" si="37"/>
        <v>29.326771428571433</v>
      </c>
      <c r="J209" s="1"/>
      <c r="K209" s="22"/>
      <c r="L209" s="97">
        <v>5</v>
      </c>
      <c r="M209" s="93">
        <f t="shared" si="41"/>
        <v>146.63385714285715</v>
      </c>
      <c r="N209" s="13"/>
      <c r="O209" s="84">
        <v>5</v>
      </c>
      <c r="P209" s="93">
        <f t="shared" si="38"/>
        <v>146.63385714285715</v>
      </c>
      <c r="Q209" s="254">
        <f t="shared" si="39"/>
        <v>1</v>
      </c>
      <c r="R209" s="254">
        <f t="shared" si="40"/>
        <v>0.798421273039017</v>
      </c>
    </row>
    <row r="210" spans="1:19" ht="15" customHeight="1" x14ac:dyDescent="0.2">
      <c r="B210" s="42" t="s">
        <v>131</v>
      </c>
      <c r="E210" s="30">
        <v>10</v>
      </c>
      <c r="F210" s="249">
        <v>0.61321992828105409</v>
      </c>
      <c r="G210" s="122">
        <v>0.6126746846546024</v>
      </c>
      <c r="H210" s="35"/>
      <c r="I210" s="5">
        <f t="shared" si="37"/>
        <v>22.49342857142857</v>
      </c>
      <c r="J210" s="1"/>
      <c r="K210" s="22"/>
      <c r="L210" s="98">
        <v>10</v>
      </c>
      <c r="M210" s="94">
        <f t="shared" si="41"/>
        <v>224.93428571428569</v>
      </c>
      <c r="N210" s="13"/>
      <c r="O210" s="84">
        <v>10</v>
      </c>
      <c r="P210" s="94">
        <f t="shared" si="38"/>
        <v>224.93428571428581</v>
      </c>
      <c r="Q210" s="254">
        <f t="shared" si="39"/>
        <v>1.0000000000000004</v>
      </c>
      <c r="R210" s="254">
        <f t="shared" si="40"/>
        <v>0.61267468465460262</v>
      </c>
    </row>
    <row r="211" spans="1:19" ht="15" customHeight="1" x14ac:dyDescent="0.2">
      <c r="E211" s="30">
        <v>20</v>
      </c>
      <c r="F211" s="249">
        <v>0.48865668505973298</v>
      </c>
      <c r="G211" s="122">
        <v>0.48838406324650696</v>
      </c>
      <c r="H211" s="35"/>
      <c r="I211" s="5">
        <f t="shared" si="37"/>
        <v>17.924342857142864</v>
      </c>
      <c r="J211" s="1"/>
      <c r="K211" s="22"/>
      <c r="L211" s="98">
        <v>20</v>
      </c>
      <c r="M211" s="94">
        <f t="shared" si="41"/>
        <v>358.48685714285727</v>
      </c>
      <c r="N211" s="13"/>
      <c r="O211" s="84">
        <v>20</v>
      </c>
      <c r="P211" s="94">
        <f t="shared" si="38"/>
        <v>358.48685714285727</v>
      </c>
      <c r="Q211" s="254">
        <f t="shared" si="39"/>
        <v>1</v>
      </c>
      <c r="R211" s="254">
        <f t="shared" si="40"/>
        <v>0.48838406324650696</v>
      </c>
    </row>
    <row r="212" spans="1:19" ht="15" customHeight="1" x14ac:dyDescent="0.2">
      <c r="E212" s="30">
        <v>30</v>
      </c>
      <c r="F212" s="249">
        <v>0.42980166000149983</v>
      </c>
      <c r="G212" s="122">
        <v>0.42961991212601586</v>
      </c>
      <c r="H212" s="35"/>
      <c r="I212" s="5">
        <f t="shared" si="37"/>
        <v>15.765490476190479</v>
      </c>
      <c r="J212" s="1"/>
      <c r="K212" s="22"/>
      <c r="L212" s="98">
        <v>30</v>
      </c>
      <c r="M212" s="94">
        <f>L212*I212</f>
        <v>472.96471428571436</v>
      </c>
      <c r="N212" s="13"/>
      <c r="O212" s="84">
        <v>30</v>
      </c>
      <c r="P212" s="94">
        <f t="shared" si="38"/>
        <v>472.96471428571431</v>
      </c>
      <c r="Q212" s="254">
        <f t="shared" si="39"/>
        <v>0.99999999999999989</v>
      </c>
      <c r="R212" s="254">
        <f t="shared" si="40"/>
        <v>0.4296199121260158</v>
      </c>
    </row>
    <row r="213" spans="1:19" ht="15" customHeight="1" x14ac:dyDescent="0.2">
      <c r="E213" s="30">
        <v>40</v>
      </c>
      <c r="F213" s="249">
        <v>0.39484011939376373</v>
      </c>
      <c r="G213" s="122">
        <v>0.39470380848715075</v>
      </c>
      <c r="H213" s="35"/>
      <c r="I213" s="5">
        <f t="shared" si="37"/>
        <v>14.483071428571428</v>
      </c>
      <c r="J213" s="1"/>
      <c r="K213" s="22"/>
      <c r="L213" s="98">
        <v>40</v>
      </c>
      <c r="M213" s="94">
        <f t="shared" si="41"/>
        <v>579.32285714285717</v>
      </c>
      <c r="N213" s="13"/>
      <c r="O213" s="84">
        <v>40</v>
      </c>
      <c r="P213" s="126">
        <f t="shared" si="38"/>
        <v>579.32285714285717</v>
      </c>
      <c r="Q213" s="254">
        <f t="shared" si="39"/>
        <v>1</v>
      </c>
      <c r="R213" s="254">
        <f t="shared" si="40"/>
        <v>0.39470380848715075</v>
      </c>
    </row>
    <row r="214" spans="1:19" ht="15" customHeight="1" x14ac:dyDescent="0.2">
      <c r="E214" s="30">
        <v>50</v>
      </c>
      <c r="F214" s="250">
        <v>0.37170255032138677</v>
      </c>
      <c r="G214" s="123">
        <v>0.37159350159609633</v>
      </c>
      <c r="H214" s="36"/>
      <c r="I214" s="23">
        <f t="shared" si="37"/>
        <v>13.634365714285714</v>
      </c>
      <c r="J214" s="24"/>
      <c r="K214" s="17"/>
      <c r="L214" s="99">
        <v>50</v>
      </c>
      <c r="M214" s="100">
        <f>L214*I214</f>
        <v>681.71828571428568</v>
      </c>
      <c r="N214" s="16"/>
      <c r="O214" s="107">
        <v>50</v>
      </c>
      <c r="P214" s="127">
        <f t="shared" si="38"/>
        <v>681.71828571428568</v>
      </c>
      <c r="Q214" s="254">
        <f t="shared" si="39"/>
        <v>1</v>
      </c>
      <c r="R214" s="254">
        <f t="shared" si="40"/>
        <v>0.37159350159609633</v>
      </c>
    </row>
    <row r="215" spans="1:19" ht="15" customHeight="1" thickBot="1" x14ac:dyDescent="0.25">
      <c r="E215" s="2"/>
      <c r="F215" s="160"/>
      <c r="G215" s="160"/>
      <c r="H215" s="40"/>
      <c r="I215" s="161"/>
      <c r="J215" s="40"/>
      <c r="K215" s="40"/>
      <c r="L215" s="162"/>
      <c r="M215" s="162"/>
      <c r="N215" s="66"/>
      <c r="O215" s="163"/>
      <c r="P215" s="162"/>
    </row>
    <row r="216" spans="1:19" ht="15" customHeight="1" x14ac:dyDescent="0.2">
      <c r="E216" s="560"/>
      <c r="F216" s="561"/>
      <c r="G216" s="562"/>
      <c r="H216" s="563"/>
      <c r="I216" s="564"/>
      <c r="J216" s="563"/>
      <c r="K216" s="565"/>
      <c r="L216" s="566"/>
      <c r="M216" s="567"/>
      <c r="N216" s="322" t="s">
        <v>167</v>
      </c>
      <c r="P216" s="162"/>
    </row>
    <row r="217" spans="1:19" ht="15" customHeight="1" thickBot="1" x14ac:dyDescent="0.25">
      <c r="E217" s="568" t="s">
        <v>423</v>
      </c>
      <c r="F217" s="569"/>
      <c r="G217" s="570"/>
      <c r="H217" s="570"/>
      <c r="I217" s="570"/>
      <c r="J217" s="570"/>
      <c r="K217" s="570"/>
      <c r="L217" s="570"/>
      <c r="M217" s="571"/>
      <c r="P217" s="41"/>
    </row>
    <row r="218" spans="1:19" ht="15" customHeight="1" x14ac:dyDescent="0.2">
      <c r="A218" s="90" t="s">
        <v>85</v>
      </c>
      <c r="B218" s="64" t="s">
        <v>86</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5-8-13</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2">D206</f>
        <v>4.3</v>
      </c>
      <c r="C227" s="1" t="s">
        <v>0</v>
      </c>
      <c r="D227" s="22"/>
      <c r="E227" s="71">
        <v>1</v>
      </c>
      <c r="F227" s="55">
        <f>F185</f>
        <v>33.816857142857138</v>
      </c>
      <c r="G227" s="46">
        <f>F227/E227</f>
        <v>33.816857142857138</v>
      </c>
      <c r="H227" s="178">
        <f t="shared" ref="H227:H236" si="43">SQRT(12*32.2*G227^2/(4*$B$228*($B$227*56)*$B$226^2))</f>
        <v>0.92189946115115673</v>
      </c>
      <c r="I227" s="718"/>
      <c r="J227" s="178">
        <v>0.92189946115115673</v>
      </c>
      <c r="K227" s="544">
        <v>1</v>
      </c>
      <c r="L227" s="549">
        <f>J227*$L$225</f>
        <v>0.92189946115115673</v>
      </c>
      <c r="M227" s="5">
        <f>(B227*2.20462*25.4*12)</f>
        <v>2889.4631567999995</v>
      </c>
      <c r="N227" s="74">
        <f t="shared" ref="N227:N236" si="44">L227*B$226*SQRT(4*B$228*M$227/32.2)/12</f>
        <v>33.816056398509431</v>
      </c>
      <c r="O227" s="597">
        <f>K227*N227</f>
        <v>33.816056398509431</v>
      </c>
      <c r="P227" s="591">
        <f t="shared" ref="P227:P236" si="45">M157</f>
        <v>1.0507734941998497</v>
      </c>
      <c r="Q227" s="60">
        <f>P227*O227</f>
        <v>35.533015741920941</v>
      </c>
      <c r="R227" s="166">
        <f>Q227-O227</f>
        <v>1.71695934341151</v>
      </c>
      <c r="S227" s="169">
        <f>R227/Q227</f>
        <v>4.8320113211946868E-2</v>
      </c>
    </row>
    <row r="228" spans="2:19" ht="15" customHeight="1" x14ac:dyDescent="0.2">
      <c r="B228" s="271">
        <f t="shared" si="42"/>
        <v>85</v>
      </c>
      <c r="C228" s="77" t="s">
        <v>1</v>
      </c>
      <c r="D228" s="17"/>
      <c r="E228" s="70">
        <v>2</v>
      </c>
      <c r="F228" s="54">
        <f t="shared" ref="F228:F236" si="46">F186</f>
        <v>61.522571428571403</v>
      </c>
      <c r="G228" s="45">
        <f t="shared" ref="G228:G236" si="47">F228/E228</f>
        <v>30.761285714285702</v>
      </c>
      <c r="H228" s="179">
        <f t="shared" si="43"/>
        <v>0.83859989130618451</v>
      </c>
      <c r="I228" s="718"/>
      <c r="J228" s="179">
        <v>0.83859989130618451</v>
      </c>
      <c r="K228" s="545">
        <v>2</v>
      </c>
      <c r="L228" s="550">
        <f t="shared" ref="L228:L236" si="48">J228*$L$225</f>
        <v>0.83859989130618451</v>
      </c>
      <c r="N228" s="73">
        <f t="shared" si="44"/>
        <v>30.760557322360935</v>
      </c>
      <c r="O228" s="598">
        <f t="shared" ref="O228:O236" si="49">K228*N228</f>
        <v>61.52111464472187</v>
      </c>
      <c r="P228" s="591">
        <f t="shared" si="45"/>
        <v>1.060059258158446</v>
      </c>
      <c r="Q228" s="59">
        <f t="shared" ref="Q228:Q236" si="50">P228*O228</f>
        <v>65.216027151364571</v>
      </c>
      <c r="R228" s="167">
        <f t="shared" ref="R228:R236" si="51">Q228-O228</f>
        <v>3.6949125066427015</v>
      </c>
      <c r="S228" s="170">
        <f t="shared" ref="S228:S236" si="52">R228/Q228</f>
        <v>5.6656510186781438E-2</v>
      </c>
    </row>
    <row r="229" spans="2:19" ht="15" customHeight="1" x14ac:dyDescent="0.2">
      <c r="E229" s="69">
        <v>3</v>
      </c>
      <c r="F229" s="50">
        <f t="shared" si="46"/>
        <v>84.401142857142844</v>
      </c>
      <c r="G229" s="44">
        <f t="shared" si="47"/>
        <v>28.13371428571428</v>
      </c>
      <c r="H229" s="180">
        <f t="shared" si="43"/>
        <v>0.76696825877738151</v>
      </c>
      <c r="I229" s="718"/>
      <c r="J229" s="180">
        <v>0.76696825877738151</v>
      </c>
      <c r="K229" s="546">
        <v>3</v>
      </c>
      <c r="L229" s="551">
        <f t="shared" si="48"/>
        <v>0.76696825877738151</v>
      </c>
      <c r="N229" s="72">
        <f t="shared" si="44"/>
        <v>28.133048111663893</v>
      </c>
      <c r="O229" s="599">
        <f>K229*N229</f>
        <v>84.399144334991675</v>
      </c>
      <c r="P229" s="591">
        <f t="shared" si="45"/>
        <v>1.0698450257951821</v>
      </c>
      <c r="Q229" s="58">
        <f t="shared" si="50"/>
        <v>90.294004748160475</v>
      </c>
      <c r="R229" s="168">
        <f>Q229-O229</f>
        <v>5.8948604131688001</v>
      </c>
      <c r="S229" s="171">
        <f t="shared" si="52"/>
        <v>6.5285180667422921E-2</v>
      </c>
    </row>
    <row r="230" spans="2:19" ht="15" customHeight="1" x14ac:dyDescent="0.2">
      <c r="E230" s="69">
        <v>4</v>
      </c>
      <c r="F230" s="50">
        <f t="shared" si="46"/>
        <v>103.03257142857143</v>
      </c>
      <c r="G230" s="44">
        <f t="shared" si="47"/>
        <v>25.758142857142857</v>
      </c>
      <c r="H230" s="180">
        <f t="shared" si="43"/>
        <v>0.70220653326650972</v>
      </c>
      <c r="I230" s="718"/>
      <c r="J230" s="180">
        <v>0.70220653326650972</v>
      </c>
      <c r="K230" s="546">
        <v>4</v>
      </c>
      <c r="L230" s="551">
        <f t="shared" si="48"/>
        <v>0.70220653326650972</v>
      </c>
      <c r="N230" s="72">
        <f t="shared" si="44"/>
        <v>25.757532933896204</v>
      </c>
      <c r="O230" s="599">
        <f t="shared" si="49"/>
        <v>103.03013173558482</v>
      </c>
      <c r="P230" s="591">
        <f t="shared" si="45"/>
        <v>1.0806735179443949</v>
      </c>
      <c r="Q230" s="58">
        <f t="shared" si="50"/>
        <v>111.3419349169689</v>
      </c>
      <c r="R230" s="168">
        <f>Q230-O230</f>
        <v>8.3118031813840787</v>
      </c>
      <c r="S230" s="171">
        <f t="shared" si="52"/>
        <v>7.4651147275125465E-2</v>
      </c>
    </row>
    <row r="231" spans="2:19" ht="15" customHeight="1" x14ac:dyDescent="0.2">
      <c r="E231" s="70">
        <v>5</v>
      </c>
      <c r="F231" s="54">
        <f t="shared" si="46"/>
        <v>117.99685714285714</v>
      </c>
      <c r="G231" s="45">
        <f t="shared" si="47"/>
        <v>23.599371428571427</v>
      </c>
      <c r="H231" s="179">
        <f t="shared" si="43"/>
        <v>0.64335510871392143</v>
      </c>
      <c r="I231" s="718"/>
      <c r="J231" s="179">
        <v>0.64335510871392143</v>
      </c>
      <c r="K231" s="545">
        <v>5</v>
      </c>
      <c r="L231" s="550">
        <f t="shared" si="48"/>
        <v>0.64335510871392143</v>
      </c>
      <c r="N231" s="73">
        <f t="shared" si="44"/>
        <v>23.598812622553442</v>
      </c>
      <c r="O231" s="598">
        <f t="shared" si="49"/>
        <v>117.99406311276721</v>
      </c>
      <c r="P231" s="591">
        <f t="shared" si="45"/>
        <v>1.0901464687921472</v>
      </c>
      <c r="Q231" s="59">
        <f t="shared" si="50"/>
        <v>128.63081124082092</v>
      </c>
      <c r="R231" s="167">
        <f t="shared" si="51"/>
        <v>10.636748128053711</v>
      </c>
      <c r="S231" s="170">
        <f t="shared" si="52"/>
        <v>8.2692070627928563E-2</v>
      </c>
    </row>
    <row r="232" spans="2:19" ht="15" customHeight="1" x14ac:dyDescent="0.2">
      <c r="E232" s="69">
        <v>10</v>
      </c>
      <c r="F232" s="50">
        <f t="shared" si="46"/>
        <v>184.16228571428584</v>
      </c>
      <c r="G232" s="44">
        <f t="shared" si="47"/>
        <v>18.416228571428583</v>
      </c>
      <c r="H232" s="180">
        <f t="shared" si="43"/>
        <v>0.5020546742328672</v>
      </c>
      <c r="I232" s="718"/>
      <c r="J232" s="180">
        <v>0.5020546742328672</v>
      </c>
      <c r="K232" s="547">
        <v>10</v>
      </c>
      <c r="L232" s="551">
        <f t="shared" si="48"/>
        <v>0.5020546742328672</v>
      </c>
      <c r="M232" s="41"/>
      <c r="N232" s="76">
        <f t="shared" si="44"/>
        <v>18.415792496282027</v>
      </c>
      <c r="O232" s="600">
        <f t="shared" si="49"/>
        <v>184.15792496282026</v>
      </c>
      <c r="P232" s="591">
        <f t="shared" si="45"/>
        <v>1.123651810204664</v>
      </c>
      <c r="Q232" s="58">
        <f t="shared" si="50"/>
        <v>206.92938574800766</v>
      </c>
      <c r="R232" s="168">
        <f t="shared" si="51"/>
        <v>22.771460785187401</v>
      </c>
      <c r="S232" s="171">
        <f t="shared" si="52"/>
        <v>0.11004459662832902</v>
      </c>
    </row>
    <row r="233" spans="2:19" ht="15" customHeight="1" x14ac:dyDescent="0.2">
      <c r="E233" s="69">
        <v>20</v>
      </c>
      <c r="F233" s="50">
        <f t="shared" si="46"/>
        <v>296.21085714285726</v>
      </c>
      <c r="G233" s="44">
        <f t="shared" si="47"/>
        <v>14.810542857142863</v>
      </c>
      <c r="H233" s="180">
        <f t="shared" si="43"/>
        <v>0.40375814410181249</v>
      </c>
      <c r="I233" s="718"/>
      <c r="J233" s="180">
        <v>0.40375814410181249</v>
      </c>
      <c r="K233" s="546">
        <v>20</v>
      </c>
      <c r="L233" s="551">
        <f t="shared" si="48"/>
        <v>0.40375814410181249</v>
      </c>
      <c r="N233" s="72">
        <f t="shared" si="44"/>
        <v>14.810192160493877</v>
      </c>
      <c r="O233" s="599">
        <f t="shared" si="49"/>
        <v>296.2038432098775</v>
      </c>
      <c r="P233" s="591">
        <f t="shared" si="45"/>
        <v>1.1494746020691824</v>
      </c>
      <c r="Q233" s="58">
        <f t="shared" si="50"/>
        <v>340.47879480503644</v>
      </c>
      <c r="R233" s="168">
        <f t="shared" si="51"/>
        <v>44.274951595158939</v>
      </c>
      <c r="S233" s="171">
        <f t="shared" si="52"/>
        <v>0.13003732470479248</v>
      </c>
    </row>
    <row r="234" spans="2:19" ht="15" customHeight="1" x14ac:dyDescent="0.2">
      <c r="E234" s="69">
        <v>30</v>
      </c>
      <c r="F234" s="50">
        <f t="shared" si="46"/>
        <v>395.81371428571435</v>
      </c>
      <c r="G234" s="44">
        <f t="shared" si="47"/>
        <v>13.193790476190479</v>
      </c>
      <c r="H234" s="180">
        <f t="shared" si="43"/>
        <v>0.35968299121228164</v>
      </c>
      <c r="I234" s="718"/>
      <c r="J234" s="180">
        <v>0.35968299121228164</v>
      </c>
      <c r="K234" s="546">
        <v>30</v>
      </c>
      <c r="L234" s="551">
        <f t="shared" si="48"/>
        <v>0.35968299121228164</v>
      </c>
      <c r="N234" s="72">
        <f t="shared" si="44"/>
        <v>13.193478062381475</v>
      </c>
      <c r="O234" s="599">
        <f t="shared" si="49"/>
        <v>395.80434187144425</v>
      </c>
      <c r="P234" s="591">
        <f t="shared" si="45"/>
        <v>1.1494415121687835</v>
      </c>
      <c r="Q234" s="58">
        <f t="shared" si="50"/>
        <v>454.95394124368306</v>
      </c>
      <c r="R234" s="168">
        <f t="shared" si="51"/>
        <v>59.149599372238811</v>
      </c>
      <c r="S234" s="171">
        <f t="shared" si="52"/>
        <v>0.13001228038720741</v>
      </c>
    </row>
    <row r="235" spans="2:19" ht="15" customHeight="1" x14ac:dyDescent="0.2">
      <c r="E235" s="69">
        <v>40</v>
      </c>
      <c r="F235" s="50">
        <f t="shared" si="46"/>
        <v>487.47085714285714</v>
      </c>
      <c r="G235" s="44">
        <f t="shared" si="47"/>
        <v>12.186771428571429</v>
      </c>
      <c r="H235" s="180">
        <f t="shared" si="43"/>
        <v>0.33223010540899384</v>
      </c>
      <c r="I235" s="718"/>
      <c r="J235" s="180">
        <v>0.33223010540899384</v>
      </c>
      <c r="K235" s="546">
        <v>40</v>
      </c>
      <c r="L235" s="551">
        <f t="shared" si="48"/>
        <v>0.33223010540899384</v>
      </c>
      <c r="N235" s="72">
        <f t="shared" si="44"/>
        <v>12.186482859817184</v>
      </c>
      <c r="O235" s="599">
        <f t="shared" si="49"/>
        <v>487.45931439268736</v>
      </c>
      <c r="P235" s="591">
        <f t="shared" si="45"/>
        <v>1.1494489340901259</v>
      </c>
      <c r="Q235" s="58">
        <f t="shared" si="50"/>
        <v>560.30958934097805</v>
      </c>
      <c r="R235" s="168">
        <f t="shared" si="51"/>
        <v>72.850274948290689</v>
      </c>
      <c r="S235" s="171">
        <f t="shared" si="52"/>
        <v>0.13001789784461004</v>
      </c>
    </row>
    <row r="236" spans="2:19" ht="15" customHeight="1" thickBot="1" x14ac:dyDescent="0.25">
      <c r="E236" s="70">
        <v>50</v>
      </c>
      <c r="F236" s="54">
        <f t="shared" si="46"/>
        <v>575.68228571428574</v>
      </c>
      <c r="G236" s="45">
        <f t="shared" si="47"/>
        <v>11.513645714285715</v>
      </c>
      <c r="H236" s="179">
        <f t="shared" si="43"/>
        <v>0.31387966466089312</v>
      </c>
      <c r="I236" s="718"/>
      <c r="J236" s="179">
        <v>0.31387966466089312</v>
      </c>
      <c r="K236" s="555">
        <v>50</v>
      </c>
      <c r="L236" s="556">
        <f t="shared" si="48"/>
        <v>0.31387966466089312</v>
      </c>
      <c r="N236" s="557">
        <f t="shared" si="44"/>
        <v>11.513373084375486</v>
      </c>
      <c r="O236" s="601">
        <f t="shared" si="49"/>
        <v>575.66865421877424</v>
      </c>
      <c r="P236" s="592">
        <f t="shared" si="45"/>
        <v>1.149450490548358</v>
      </c>
      <c r="Q236" s="59">
        <f t="shared" si="50"/>
        <v>661.70261698508318</v>
      </c>
      <c r="R236" s="167">
        <f t="shared" si="51"/>
        <v>86.033962766308946</v>
      </c>
      <c r="S236" s="170">
        <f t="shared" si="52"/>
        <v>0.13001907587777972</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3">E157</f>
        <v>1.7170000000000001</v>
      </c>
      <c r="S241" s="327">
        <f>R241/R227</f>
        <v>1.0000236794124719</v>
      </c>
    </row>
    <row r="242" spans="1:19" ht="15" customHeight="1" x14ac:dyDescent="0.2">
      <c r="E242" s="323"/>
      <c r="F242" s="324"/>
      <c r="G242" s="323"/>
      <c r="H242" s="325"/>
      <c r="I242" s="41"/>
      <c r="J242" s="325"/>
      <c r="K242" s="323"/>
      <c r="L242" s="325"/>
      <c r="M242" s="41"/>
      <c r="N242" s="324"/>
      <c r="O242" s="324"/>
      <c r="P242" s="326"/>
      <c r="Q242" s="324"/>
      <c r="R242" s="167">
        <f t="shared" si="53"/>
        <v>3.6949999999999998</v>
      </c>
      <c r="S242" s="327">
        <f t="shared" ref="S242:S250" si="54">R242/R228</f>
        <v>1.0000236794124735</v>
      </c>
    </row>
    <row r="243" spans="1:19" ht="15" customHeight="1" x14ac:dyDescent="0.2">
      <c r="R243" s="168">
        <f t="shared" si="53"/>
        <v>5.8949999999999996</v>
      </c>
      <c r="S243" s="327">
        <f t="shared" si="54"/>
        <v>1.0000236794124739</v>
      </c>
    </row>
    <row r="244" spans="1:19" ht="15" customHeight="1" x14ac:dyDescent="0.2">
      <c r="R244" s="168">
        <f t="shared" si="53"/>
        <v>8.3119999999999994</v>
      </c>
      <c r="S244" s="327">
        <f t="shared" si="54"/>
        <v>1.0000236794124724</v>
      </c>
    </row>
    <row r="245" spans="1:19" ht="15" customHeight="1" x14ac:dyDescent="0.2">
      <c r="R245" s="167">
        <f t="shared" si="53"/>
        <v>10.637</v>
      </c>
      <c r="S245" s="327">
        <f t="shared" si="54"/>
        <v>1.0000236794124724</v>
      </c>
    </row>
    <row r="246" spans="1:19" ht="15" customHeight="1" x14ac:dyDescent="0.2">
      <c r="R246" s="168">
        <f t="shared" si="53"/>
        <v>22.771999999999998</v>
      </c>
      <c r="S246" s="327">
        <f t="shared" si="54"/>
        <v>1.0000236794124753</v>
      </c>
    </row>
    <row r="247" spans="1:19" ht="15" customHeight="1" x14ac:dyDescent="0.2">
      <c r="F247" s="41"/>
      <c r="G247" s="41"/>
      <c r="H247" s="41"/>
      <c r="I247" s="41"/>
      <c r="J247" s="41"/>
      <c r="K247" s="41"/>
      <c r="L247" s="41"/>
      <c r="M247" s="41"/>
      <c r="N247" s="41"/>
      <c r="O247" s="41"/>
      <c r="P247" s="41"/>
      <c r="R247" s="168">
        <f t="shared" si="53"/>
        <v>44.276000000000003</v>
      </c>
      <c r="S247" s="327">
        <f t="shared" si="54"/>
        <v>1.0000236794124735</v>
      </c>
    </row>
    <row r="248" spans="1:19" ht="15" customHeight="1" x14ac:dyDescent="0.2">
      <c r="B248" s="90"/>
      <c r="R248" s="168">
        <f t="shared" si="53"/>
        <v>59.151000000000003</v>
      </c>
      <c r="S248" s="327">
        <f t="shared" si="54"/>
        <v>1.0000236794124737</v>
      </c>
    </row>
    <row r="249" spans="1:19" ht="15" customHeight="1" x14ac:dyDescent="0.2">
      <c r="A249" s="90" t="s">
        <v>95</v>
      </c>
      <c r="B249" s="64" t="s">
        <v>178</v>
      </c>
      <c r="R249" s="168">
        <f t="shared" si="53"/>
        <v>72.852000000000004</v>
      </c>
      <c r="S249" s="327">
        <f t="shared" si="54"/>
        <v>1.0000236794124735</v>
      </c>
    </row>
    <row r="250" spans="1:19" ht="15" customHeight="1" x14ac:dyDescent="0.2">
      <c r="R250" s="167">
        <f t="shared" si="53"/>
        <v>86.036000000000001</v>
      </c>
      <c r="S250" s="327">
        <f t="shared" si="54"/>
        <v>1.0000236794124733</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4.3</v>
      </c>
      <c r="C257" s="1" t="s">
        <v>0</v>
      </c>
      <c r="D257" s="22"/>
      <c r="E257" s="71">
        <v>1</v>
      </c>
      <c r="F257" s="166">
        <f>G185</f>
        <v>1.7170000000000001</v>
      </c>
      <c r="G257" s="49">
        <f>F257/E257</f>
        <v>1.7170000000000001</v>
      </c>
      <c r="H257" s="178">
        <f>SQRT(12*32.2*G257^2/(4*$B$258*($B$257*56)*$B$256^2))</f>
        <v>4.6808056943602745E-2</v>
      </c>
      <c r="I257" s="718"/>
      <c r="J257" s="178">
        <v>4.6808056943602745E-2</v>
      </c>
      <c r="K257" s="544">
        <v>1</v>
      </c>
      <c r="L257" s="549">
        <f>J257*$L$255</f>
        <v>4.6808056943602745E-2</v>
      </c>
      <c r="M257" s="5">
        <f>(B257*2.20462*25.4*12)</f>
        <v>2889.4631567999995</v>
      </c>
      <c r="N257" s="74">
        <f>L257*B$256*SQRT(4*B$258*M$257/32.2)/12</f>
        <v>1.7169593434115062</v>
      </c>
      <c r="O257" s="218">
        <f>K257*N257</f>
        <v>1.7169593434115062</v>
      </c>
      <c r="Q257" s="218">
        <f t="shared" ref="Q257:Q266" si="55">E157</f>
        <v>1.7170000000000001</v>
      </c>
      <c r="R257" s="327">
        <f>Q257/O257</f>
        <v>1.0000236794124742</v>
      </c>
    </row>
    <row r="258" spans="2:18" ht="15" customHeight="1" x14ac:dyDescent="0.2">
      <c r="B258" s="271">
        <f>D207</f>
        <v>85</v>
      </c>
      <c r="C258" s="77" t="s">
        <v>1</v>
      </c>
      <c r="D258" s="17"/>
      <c r="E258" s="70">
        <v>2</v>
      </c>
      <c r="F258" s="167">
        <f t="shared" ref="F258:F266" si="56">G186</f>
        <v>3.6949999999999998</v>
      </c>
      <c r="G258" s="48">
        <f t="shared" ref="G258:G266" si="57">F258/E258</f>
        <v>1.8474999999999999</v>
      </c>
      <c r="H258" s="179">
        <f t="shared" ref="H258:H266" si="58">SQRT(12*32.2*G258^2/(4*$B$258*($B$257*56)*$B$256^2))</f>
        <v>5.0365687363602835E-2</v>
      </c>
      <c r="I258" s="718"/>
      <c r="J258" s="179">
        <v>5.0365687363602835E-2</v>
      </c>
      <c r="K258" s="545">
        <v>2</v>
      </c>
      <c r="L258" s="550">
        <f t="shared" ref="L258:L266" si="59">J258*$L$255</f>
        <v>5.0365687363602835E-2</v>
      </c>
      <c r="N258" s="73">
        <f t="shared" ref="N258:N266" si="60">L258*B$256*SQRT(4*B$258*M$257/32.2)/12</f>
        <v>1.8474562533213497</v>
      </c>
      <c r="O258" s="219">
        <f t="shared" ref="O258" si="61">K258*N258</f>
        <v>3.6949125066426993</v>
      </c>
      <c r="Q258" s="219">
        <f t="shared" si="55"/>
        <v>3.6949999999999998</v>
      </c>
      <c r="R258" s="327">
        <f t="shared" ref="R258:R266" si="62">Q258/O258</f>
        <v>1.0000236794124742</v>
      </c>
    </row>
    <row r="259" spans="2:18" ht="15" customHeight="1" x14ac:dyDescent="0.2">
      <c r="E259" s="69">
        <v>3</v>
      </c>
      <c r="F259" s="168">
        <f t="shared" si="56"/>
        <v>5.8949999999999996</v>
      </c>
      <c r="G259" s="47">
        <f t="shared" si="57"/>
        <v>1.9649999999999999</v>
      </c>
      <c r="H259" s="180">
        <f t="shared" si="58"/>
        <v>5.3568917818392188E-2</v>
      </c>
      <c r="I259" s="718"/>
      <c r="J259" s="180">
        <v>5.3568917818392188E-2</v>
      </c>
      <c r="K259" s="546">
        <v>3</v>
      </c>
      <c r="L259" s="551">
        <f t="shared" si="59"/>
        <v>5.3568917818392188E-2</v>
      </c>
      <c r="N259" s="72">
        <f t="shared" si="60"/>
        <v>1.9649534710562666</v>
      </c>
      <c r="O259" s="220">
        <f>K259*N259</f>
        <v>5.8948604131688001</v>
      </c>
      <c r="Q259" s="220">
        <f t="shared" si="55"/>
        <v>5.8949999999999996</v>
      </c>
      <c r="R259" s="327">
        <f t="shared" si="62"/>
        <v>1.0000236794124739</v>
      </c>
    </row>
    <row r="260" spans="2:18" ht="15" customHeight="1" x14ac:dyDescent="0.2">
      <c r="E260" s="69">
        <v>4</v>
      </c>
      <c r="F260" s="168">
        <f t="shared" si="56"/>
        <v>8.3119999999999994</v>
      </c>
      <c r="G260" s="47">
        <f t="shared" si="57"/>
        <v>2.0779999999999998</v>
      </c>
      <c r="H260" s="180">
        <f t="shared" si="58"/>
        <v>5.6649471362147048E-2</v>
      </c>
      <c r="I260" s="718"/>
      <c r="J260" s="180">
        <v>5.6649471362147048E-2</v>
      </c>
      <c r="K260" s="546">
        <v>4</v>
      </c>
      <c r="L260" s="551">
        <f t="shared" si="59"/>
        <v>5.6649471362147048E-2</v>
      </c>
      <c r="N260" s="72">
        <f t="shared" si="60"/>
        <v>2.0779507953460157</v>
      </c>
      <c r="O260" s="220">
        <f t="shared" ref="O260:O266" si="63">K260*N260</f>
        <v>8.3118031813840627</v>
      </c>
      <c r="Q260" s="220">
        <f t="shared" si="55"/>
        <v>8.3119999999999994</v>
      </c>
      <c r="R260" s="327">
        <f t="shared" si="62"/>
        <v>1.0000236794124742</v>
      </c>
    </row>
    <row r="261" spans="2:18" ht="15" customHeight="1" x14ac:dyDescent="0.2">
      <c r="E261" s="70">
        <v>5</v>
      </c>
      <c r="F261" s="167">
        <f t="shared" si="56"/>
        <v>10.637</v>
      </c>
      <c r="G261" s="48">
        <f t="shared" si="57"/>
        <v>2.1274000000000002</v>
      </c>
      <c r="H261" s="179">
        <f t="shared" si="58"/>
        <v>5.7996191229947869E-2</v>
      </c>
      <c r="I261" s="718"/>
      <c r="J261" s="179">
        <v>5.7996191229947869E-2</v>
      </c>
      <c r="K261" s="545">
        <v>5</v>
      </c>
      <c r="L261" s="550">
        <f t="shared" si="59"/>
        <v>5.7996191229947869E-2</v>
      </c>
      <c r="N261" s="73">
        <f t="shared" si="60"/>
        <v>2.1273496256107389</v>
      </c>
      <c r="O261" s="219">
        <f t="shared" si="63"/>
        <v>10.636748128053695</v>
      </c>
      <c r="Q261" s="219">
        <f t="shared" si="55"/>
        <v>10.637</v>
      </c>
      <c r="R261" s="327">
        <f t="shared" si="62"/>
        <v>1.0000236794124739</v>
      </c>
    </row>
    <row r="262" spans="2:18" ht="15" customHeight="1" x14ac:dyDescent="0.2">
      <c r="E262" s="69">
        <v>10</v>
      </c>
      <c r="F262" s="168">
        <f t="shared" si="56"/>
        <v>22.771999999999998</v>
      </c>
      <c r="G262" s="47">
        <f t="shared" si="57"/>
        <v>2.2771999999999997</v>
      </c>
      <c r="H262" s="180">
        <f t="shared" si="58"/>
        <v>6.2079969290606961E-2</v>
      </c>
      <c r="I262" s="718"/>
      <c r="J262" s="180">
        <v>6.2079969290606961E-2</v>
      </c>
      <c r="K262" s="547">
        <v>10</v>
      </c>
      <c r="L262" s="551">
        <f t="shared" si="59"/>
        <v>6.2079969290606961E-2</v>
      </c>
      <c r="M262" s="41"/>
      <c r="N262" s="76">
        <f t="shared" si="60"/>
        <v>2.2771460785187432</v>
      </c>
      <c r="O262" s="221">
        <f t="shared" si="63"/>
        <v>22.771460785187433</v>
      </c>
      <c r="Q262" s="221">
        <f t="shared" si="55"/>
        <v>22.771999999999998</v>
      </c>
      <c r="R262" s="327">
        <f t="shared" si="62"/>
        <v>1.0000236794124739</v>
      </c>
    </row>
    <row r="263" spans="2:18" ht="15" customHeight="1" x14ac:dyDescent="0.2">
      <c r="E263" s="69">
        <v>20</v>
      </c>
      <c r="F263" s="168">
        <f t="shared" si="56"/>
        <v>44.276000000000003</v>
      </c>
      <c r="G263" s="47">
        <f t="shared" si="57"/>
        <v>2.2138</v>
      </c>
      <c r="H263" s="180">
        <f t="shared" si="58"/>
        <v>6.0351587921809988E-2</v>
      </c>
      <c r="I263" s="718"/>
      <c r="J263" s="180">
        <v>6.0351587921809988E-2</v>
      </c>
      <c r="K263" s="546">
        <v>20</v>
      </c>
      <c r="L263" s="551">
        <f t="shared" si="59"/>
        <v>6.0351587921809988E-2</v>
      </c>
      <c r="N263" s="72">
        <f t="shared" si="60"/>
        <v>2.2137475797579458</v>
      </c>
      <c r="O263" s="220">
        <f t="shared" si="63"/>
        <v>44.274951595158917</v>
      </c>
      <c r="Q263" s="220">
        <f t="shared" si="55"/>
        <v>44.276000000000003</v>
      </c>
      <c r="R263" s="327">
        <f t="shared" si="62"/>
        <v>1.0000236794124739</v>
      </c>
    </row>
    <row r="264" spans="2:18" ht="15" customHeight="1" x14ac:dyDescent="0.2">
      <c r="E264" s="69">
        <v>30</v>
      </c>
      <c r="F264" s="168">
        <f t="shared" si="56"/>
        <v>59.151000000000003</v>
      </c>
      <c r="G264" s="47">
        <f t="shared" si="57"/>
        <v>1.9717</v>
      </c>
      <c r="H264" s="180">
        <f t="shared" si="58"/>
        <v>5.3751570108154643E-2</v>
      </c>
      <c r="I264" s="718"/>
      <c r="J264" s="180">
        <v>5.3751570108154643E-2</v>
      </c>
      <c r="K264" s="546">
        <v>30</v>
      </c>
      <c r="L264" s="551">
        <f t="shared" si="59"/>
        <v>5.3751570108154643E-2</v>
      </c>
      <c r="N264" s="72">
        <f t="shared" si="60"/>
        <v>1.9716533124079596</v>
      </c>
      <c r="O264" s="220">
        <f t="shared" si="63"/>
        <v>59.149599372238789</v>
      </c>
      <c r="Q264" s="220">
        <f t="shared" si="55"/>
        <v>59.151000000000003</v>
      </c>
      <c r="R264" s="327">
        <f t="shared" si="62"/>
        <v>1.0000236794124742</v>
      </c>
    </row>
    <row r="265" spans="2:18" ht="15" customHeight="1" x14ac:dyDescent="0.2">
      <c r="E265" s="69">
        <v>40</v>
      </c>
      <c r="F265" s="168">
        <f t="shared" si="56"/>
        <v>72.852000000000004</v>
      </c>
      <c r="G265" s="47">
        <f t="shared" si="57"/>
        <v>1.8213000000000001</v>
      </c>
      <c r="H265" s="180">
        <f t="shared" si="58"/>
        <v>4.9651435126024282E-2</v>
      </c>
      <c r="I265" s="718"/>
      <c r="J265" s="180">
        <v>4.9651435126024282E-2</v>
      </c>
      <c r="K265" s="546">
        <v>40</v>
      </c>
      <c r="L265" s="551">
        <f t="shared" si="59"/>
        <v>4.9651435126024282E-2</v>
      </c>
      <c r="N265" s="72">
        <f t="shared" si="60"/>
        <v>1.8212568737072667</v>
      </c>
      <c r="O265" s="220">
        <f t="shared" si="63"/>
        <v>72.850274948290675</v>
      </c>
      <c r="Q265" s="220">
        <f t="shared" si="55"/>
        <v>72.852000000000004</v>
      </c>
      <c r="R265" s="327">
        <f t="shared" si="62"/>
        <v>1.0000236794124737</v>
      </c>
    </row>
    <row r="266" spans="2:18" ht="15" customHeight="1" thickBot="1" x14ac:dyDescent="0.25">
      <c r="E266" s="70">
        <v>50</v>
      </c>
      <c r="F266" s="167">
        <f t="shared" si="56"/>
        <v>86.036000000000001</v>
      </c>
      <c r="G266" s="48">
        <f t="shared" si="57"/>
        <v>1.72072</v>
      </c>
      <c r="H266" s="179">
        <f t="shared" si="58"/>
        <v>4.6909469856724589E-2</v>
      </c>
      <c r="I266" s="718"/>
      <c r="J266" s="179">
        <v>4.6909469856724589E-2</v>
      </c>
      <c r="K266" s="555">
        <v>50</v>
      </c>
      <c r="L266" s="556">
        <f t="shared" si="59"/>
        <v>4.6909469856724589E-2</v>
      </c>
      <c r="N266" s="557">
        <f t="shared" si="60"/>
        <v>1.7206792553261778</v>
      </c>
      <c r="O266" s="219">
        <f t="shared" si="63"/>
        <v>86.033962766308889</v>
      </c>
      <c r="Q266" s="219">
        <f t="shared" si="55"/>
        <v>86.036000000000001</v>
      </c>
      <c r="R266" s="327">
        <f t="shared" si="62"/>
        <v>1.0000236794124739</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1"/>
      <c r="C274" s="1"/>
      <c r="D274" s="1"/>
      <c r="E274" s="1"/>
      <c r="F274" s="1"/>
      <c r="G274" s="1"/>
      <c r="H274" s="1"/>
      <c r="I274" s="1"/>
      <c r="J274" s="1"/>
      <c r="K274" s="1"/>
      <c r="L274" s="1"/>
      <c r="M274" s="1"/>
      <c r="N274" s="1"/>
      <c r="O274" s="334" t="s">
        <v>195</v>
      </c>
      <c r="P274" s="687" t="s">
        <v>493</v>
      </c>
    </row>
    <row r="275" spans="1:16" ht="15" customHeight="1" x14ac:dyDescent="0.2">
      <c r="A275" s="35"/>
      <c r="B275" s="1"/>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3423s</v>
      </c>
      <c r="C277" s="1"/>
      <c r="D277" s="1"/>
      <c r="E277" s="1"/>
      <c r="F277" s="1"/>
      <c r="G277" s="1"/>
      <c r="H277" s="1"/>
      <c r="I277" s="1"/>
      <c r="J277" s="1"/>
      <c r="K277" s="276"/>
      <c r="L277" s="1"/>
      <c r="M277" s="1"/>
      <c r="N277" s="1"/>
      <c r="O277" s="330"/>
      <c r="P277" s="22"/>
    </row>
    <row r="278" spans="1:16" ht="15" customHeight="1" x14ac:dyDescent="0.2">
      <c r="A278" s="274"/>
      <c r="B278" s="275" t="str">
        <f>B10</f>
        <v>19 SXF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Hunter Hargis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6" ht="15" customHeight="1" x14ac:dyDescent="0.2">
      <c r="A280" s="274"/>
      <c r="B280" s="275" t="str">
        <f>B12</f>
        <v>mx18-psh</v>
      </c>
      <c r="C280" s="1"/>
      <c r="D280" s="275" t="str">
        <f>D12</f>
        <v>15 flsprs</v>
      </c>
      <c r="E280" s="1"/>
      <c r="F280" s="1"/>
      <c r="G280" s="1"/>
      <c r="H280" s="1"/>
      <c r="I280" s="1"/>
      <c r="J280" s="1"/>
      <c r="K280" s="276"/>
      <c r="L280" s="1"/>
      <c r="M280" s="1"/>
      <c r="N280" s="1"/>
      <c r="O280" s="330"/>
      <c r="P280" s="22"/>
    </row>
    <row r="281" spans="1:16" ht="15" customHeight="1" x14ac:dyDescent="0.2">
      <c r="A281" s="35"/>
      <c r="B281" s="275" t="str">
        <f>B13</f>
        <v>TRENDLINE</v>
      </c>
      <c r="C281" s="275" t="str">
        <f>C13</f>
        <v>v12</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4.3</v>
      </c>
      <c r="D282" s="1"/>
      <c r="E282" s="1"/>
      <c r="F282" s="1"/>
      <c r="G282" s="1"/>
      <c r="H282" s="1"/>
      <c r="I282" s="1"/>
      <c r="J282" s="1"/>
      <c r="K282" s="1"/>
      <c r="L282" s="1"/>
      <c r="M282" s="1"/>
      <c r="N282" s="1"/>
      <c r="O282" s="1"/>
      <c r="P282" s="22"/>
    </row>
    <row r="283" spans="1:16" ht="15" customHeight="1" x14ac:dyDescent="0.2">
      <c r="A283" s="11"/>
      <c r="B283" s="442" t="s">
        <v>202</v>
      </c>
      <c r="C283" s="275"/>
      <c r="D283" s="1"/>
      <c r="E283" s="1"/>
      <c r="F283" s="1"/>
      <c r="G283" s="1"/>
      <c r="H283" s="1"/>
      <c r="I283" s="445" t="str">
        <f>IF($B$12="12sxf450-psh","calc gas force = 73c, linear = 77","calc gas force = 69c, linear = 73")</f>
        <v>calc gas force = 69c, linear = 73</v>
      </c>
      <c r="J283" s="445"/>
      <c r="K283" s="1"/>
      <c r="L283" s="1"/>
      <c r="M283" s="1"/>
      <c r="N283" s="1"/>
      <c r="O283" s="1"/>
      <c r="P283" s="22"/>
    </row>
    <row r="284" spans="1:16" ht="15" customHeight="1" x14ac:dyDescent="0.2">
      <c r="A284" s="35"/>
      <c r="B284" s="1"/>
      <c r="C284" s="1"/>
      <c r="D284" s="1"/>
      <c r="E284" s="1"/>
      <c r="F284" s="1"/>
      <c r="G284" s="1"/>
      <c r="H284" s="446" t="str">
        <f>J155</f>
        <v xml:space="preserve"> 5-8-13</v>
      </c>
      <c r="I284" s="1"/>
      <c r="J284" s="1"/>
      <c r="K284" s="1"/>
      <c r="L284" s="1"/>
      <c r="M284" s="1"/>
      <c r="N284" s="1"/>
      <c r="O284" s="1"/>
      <c r="P284" s="22"/>
    </row>
    <row r="285" spans="1:16" ht="15" customHeight="1" x14ac:dyDescent="0.2">
      <c r="A285" s="300" t="s">
        <v>151</v>
      </c>
      <c r="B285" s="448">
        <f>D206</f>
        <v>4.3</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456">
        <f t="shared" ref="C288:E297" si="64">C185</f>
        <v>53.53385714285713</v>
      </c>
      <c r="D288" s="456">
        <f t="shared" si="64"/>
        <v>122.53385714285713</v>
      </c>
      <c r="E288" s="456">
        <f t="shared" si="64"/>
        <v>35.533857142857137</v>
      </c>
      <c r="F288" s="456">
        <f>G288+J288</f>
        <v>47.816857142857138</v>
      </c>
      <c r="G288" s="456">
        <f t="shared" ref="G288:H297" si="65">F185</f>
        <v>33.816857142857138</v>
      </c>
      <c r="H288" s="457">
        <f t="shared" si="65"/>
        <v>1.7170000000000001</v>
      </c>
      <c r="I288" s="458">
        <f>M185</f>
        <v>73</v>
      </c>
      <c r="J288" s="456">
        <f t="shared" ref="J288:J297" si="66">L185</f>
        <v>14</v>
      </c>
      <c r="K288" s="708">
        <f>H288/E288</f>
        <v>4.8320113211946764E-2</v>
      </c>
      <c r="L288" s="584">
        <f t="shared" ref="L288:L297" si="67">F205</f>
        <v>1.4594497203263006</v>
      </c>
      <c r="M288" s="584">
        <f t="shared" ref="M288:M297" si="68">H227</f>
        <v>0.92189946115115673</v>
      </c>
      <c r="N288" s="584">
        <f t="shared" ref="N288:N297" si="69">H257</f>
        <v>4.6808056943602745E-2</v>
      </c>
      <c r="O288" s="1"/>
      <c r="P288" s="468">
        <f>L288</f>
        <v>1.4594497203263006</v>
      </c>
    </row>
    <row r="289" spans="1:16" ht="15" customHeight="1" x14ac:dyDescent="0.2">
      <c r="A289" s="35"/>
      <c r="B289" s="449">
        <v>2</v>
      </c>
      <c r="C289" s="127">
        <f t="shared" si="64"/>
        <v>83.217571428571404</v>
      </c>
      <c r="D289" s="127">
        <f t="shared" si="64"/>
        <v>152.2175714285714</v>
      </c>
      <c r="E289" s="127">
        <f t="shared" si="64"/>
        <v>65.217571428571404</v>
      </c>
      <c r="F289" s="127">
        <f t="shared" ref="F289:F297" si="70">G289+J289</f>
        <v>75.52257142857141</v>
      </c>
      <c r="G289" s="127">
        <f t="shared" si="65"/>
        <v>61.522571428571403</v>
      </c>
      <c r="H289" s="460">
        <f t="shared" si="65"/>
        <v>3.6949999999999998</v>
      </c>
      <c r="I289" s="461">
        <f t="shared" ref="I289:I297" si="71">M186</f>
        <v>73</v>
      </c>
      <c r="J289" s="127">
        <f t="shared" si="66"/>
        <v>14</v>
      </c>
      <c r="K289" s="709">
        <f t="shared" ref="K289:K297" si="72">H289/E289</f>
        <v>5.665651018678141E-2</v>
      </c>
      <c r="L289" s="585">
        <f t="shared" si="67"/>
        <v>1.1343462607557264</v>
      </c>
      <c r="M289" s="585">
        <f t="shared" si="68"/>
        <v>0.83859989130618451</v>
      </c>
      <c r="N289" s="585">
        <f t="shared" si="69"/>
        <v>5.0365687363602835E-2</v>
      </c>
      <c r="O289" s="1"/>
      <c r="P289" s="469">
        <f t="shared" ref="P289:P297" si="73">L289</f>
        <v>1.1343462607557264</v>
      </c>
    </row>
    <row r="290" spans="1:16" ht="15" customHeight="1" x14ac:dyDescent="0.2">
      <c r="A290" s="35"/>
      <c r="B290" s="449">
        <v>3</v>
      </c>
      <c r="C290" s="463">
        <f t="shared" si="64"/>
        <v>108.29614285714285</v>
      </c>
      <c r="D290" s="463">
        <f t="shared" si="64"/>
        <v>177.29614285714285</v>
      </c>
      <c r="E290" s="463">
        <f t="shared" si="64"/>
        <v>90.29614285714284</v>
      </c>
      <c r="F290" s="463">
        <f t="shared" si="70"/>
        <v>98.401142857142844</v>
      </c>
      <c r="G290" s="463">
        <f t="shared" si="65"/>
        <v>84.401142857142844</v>
      </c>
      <c r="H290" s="464">
        <f t="shared" si="65"/>
        <v>5.8949999999999996</v>
      </c>
      <c r="I290" s="465">
        <f t="shared" si="71"/>
        <v>73</v>
      </c>
      <c r="J290" s="463">
        <f t="shared" si="66"/>
        <v>14</v>
      </c>
      <c r="K290" s="710">
        <f t="shared" si="72"/>
        <v>6.5285180667422921E-2</v>
      </c>
      <c r="L290" s="586">
        <f t="shared" si="67"/>
        <v>0.98412969436957975</v>
      </c>
      <c r="M290" s="586">
        <f t="shared" si="68"/>
        <v>0.76696825877738151</v>
      </c>
      <c r="N290" s="586">
        <f t="shared" si="69"/>
        <v>5.3568917818392188E-2</v>
      </c>
      <c r="O290" s="1"/>
      <c r="P290" s="470">
        <f t="shared" si="73"/>
        <v>0.98412969436957975</v>
      </c>
    </row>
    <row r="291" spans="1:16" ht="15" customHeight="1" x14ac:dyDescent="0.2">
      <c r="A291" s="35"/>
      <c r="B291" s="449">
        <v>4</v>
      </c>
      <c r="C291" s="463">
        <f t="shared" si="64"/>
        <v>129.34457142857144</v>
      </c>
      <c r="D291" s="463">
        <f t="shared" si="64"/>
        <v>198.34457142857144</v>
      </c>
      <c r="E291" s="463">
        <f t="shared" si="64"/>
        <v>111.34457142857143</v>
      </c>
      <c r="F291" s="463">
        <f t="shared" si="70"/>
        <v>117.03257142857143</v>
      </c>
      <c r="G291" s="463">
        <f t="shared" si="65"/>
        <v>103.03257142857143</v>
      </c>
      <c r="H291" s="464">
        <f t="shared" si="65"/>
        <v>8.3119999999999994</v>
      </c>
      <c r="I291" s="465">
        <f t="shared" si="71"/>
        <v>73</v>
      </c>
      <c r="J291" s="463">
        <f t="shared" si="66"/>
        <v>14</v>
      </c>
      <c r="K291" s="710">
        <f t="shared" si="72"/>
        <v>7.465114727512534E-2</v>
      </c>
      <c r="L291" s="586">
        <f t="shared" si="67"/>
        <v>0.88155378984466193</v>
      </c>
      <c r="M291" s="586">
        <f t="shared" si="68"/>
        <v>0.70220653326650972</v>
      </c>
      <c r="N291" s="586">
        <f t="shared" si="69"/>
        <v>5.6649471362147048E-2</v>
      </c>
      <c r="O291" s="1"/>
      <c r="P291" s="470">
        <f t="shared" si="73"/>
        <v>0.88155378984466193</v>
      </c>
    </row>
    <row r="292" spans="1:16" ht="15" customHeight="1" x14ac:dyDescent="0.2">
      <c r="A292" s="35"/>
      <c r="B292" s="449">
        <v>5</v>
      </c>
      <c r="C292" s="127">
        <f t="shared" si="64"/>
        <v>146.63385714285715</v>
      </c>
      <c r="D292" s="127">
        <f t="shared" si="64"/>
        <v>215.63385714285715</v>
      </c>
      <c r="E292" s="127">
        <f t="shared" si="64"/>
        <v>128.63385714285715</v>
      </c>
      <c r="F292" s="127">
        <f t="shared" si="70"/>
        <v>131.99685714285715</v>
      </c>
      <c r="G292" s="127">
        <f t="shared" si="65"/>
        <v>117.99685714285714</v>
      </c>
      <c r="H292" s="460">
        <f t="shared" si="65"/>
        <v>10.637</v>
      </c>
      <c r="I292" s="461">
        <f t="shared" si="71"/>
        <v>73</v>
      </c>
      <c r="J292" s="127">
        <f t="shared" si="66"/>
        <v>14</v>
      </c>
      <c r="K292" s="709">
        <f t="shared" si="72"/>
        <v>8.2692070627928438E-2</v>
      </c>
      <c r="L292" s="585">
        <f t="shared" si="67"/>
        <v>0.79951176029192061</v>
      </c>
      <c r="M292" s="585">
        <f t="shared" si="68"/>
        <v>0.64335510871392143</v>
      </c>
      <c r="N292" s="585">
        <f t="shared" si="69"/>
        <v>5.7996191229947869E-2</v>
      </c>
      <c r="O292" s="1"/>
      <c r="P292" s="469">
        <f t="shared" si="73"/>
        <v>0.79951176029192061</v>
      </c>
    </row>
    <row r="293" spans="1:16" ht="15" customHeight="1" x14ac:dyDescent="0.2">
      <c r="A293" s="35"/>
      <c r="B293" s="449">
        <v>10</v>
      </c>
      <c r="C293" s="463">
        <f t="shared" si="64"/>
        <v>224.93428571428581</v>
      </c>
      <c r="D293" s="463">
        <f t="shared" si="64"/>
        <v>293.93428571428581</v>
      </c>
      <c r="E293" s="463">
        <f t="shared" si="64"/>
        <v>206.93428571428583</v>
      </c>
      <c r="F293" s="463">
        <f t="shared" si="70"/>
        <v>198.16228571428584</v>
      </c>
      <c r="G293" s="463">
        <f t="shared" si="65"/>
        <v>184.16228571428584</v>
      </c>
      <c r="H293" s="464">
        <f t="shared" si="65"/>
        <v>22.771999999999998</v>
      </c>
      <c r="I293" s="465">
        <f t="shared" si="71"/>
        <v>73</v>
      </c>
      <c r="J293" s="463">
        <f t="shared" si="66"/>
        <v>14</v>
      </c>
      <c r="K293" s="710">
        <f t="shared" si="72"/>
        <v>0.11004459662832915</v>
      </c>
      <c r="L293" s="586">
        <f t="shared" si="67"/>
        <v>0.61321992828105409</v>
      </c>
      <c r="M293" s="586">
        <f t="shared" si="68"/>
        <v>0.5020546742328672</v>
      </c>
      <c r="N293" s="586">
        <f t="shared" si="69"/>
        <v>6.2079969290606961E-2</v>
      </c>
      <c r="O293" s="1"/>
      <c r="P293" s="470">
        <f t="shared" si="73"/>
        <v>0.61321992828105409</v>
      </c>
    </row>
    <row r="294" spans="1:16" ht="15" customHeight="1" x14ac:dyDescent="0.2">
      <c r="A294" s="35"/>
      <c r="B294" s="449">
        <v>20</v>
      </c>
      <c r="C294" s="463">
        <f t="shared" si="64"/>
        <v>358.48685714285727</v>
      </c>
      <c r="D294" s="463">
        <f t="shared" si="64"/>
        <v>427.48685714285727</v>
      </c>
      <c r="E294" s="463">
        <f t="shared" si="64"/>
        <v>340.48685714285727</v>
      </c>
      <c r="F294" s="463">
        <f t="shared" si="70"/>
        <v>310.21085714285726</v>
      </c>
      <c r="G294" s="463">
        <f t="shared" si="65"/>
        <v>296.21085714285726</v>
      </c>
      <c r="H294" s="464">
        <f t="shared" si="65"/>
        <v>44.276000000000003</v>
      </c>
      <c r="I294" s="465">
        <f t="shared" si="71"/>
        <v>73</v>
      </c>
      <c r="J294" s="463">
        <f t="shared" si="66"/>
        <v>14</v>
      </c>
      <c r="K294" s="710">
        <f t="shared" si="72"/>
        <v>0.13003732470479243</v>
      </c>
      <c r="L294" s="586">
        <f t="shared" si="67"/>
        <v>0.48865668505973298</v>
      </c>
      <c r="M294" s="586">
        <f t="shared" si="68"/>
        <v>0.40375814410181249</v>
      </c>
      <c r="N294" s="586">
        <f t="shared" si="69"/>
        <v>6.0351587921809988E-2</v>
      </c>
      <c r="O294" s="1"/>
      <c r="P294" s="470">
        <f t="shared" si="73"/>
        <v>0.48865668505973298</v>
      </c>
    </row>
    <row r="295" spans="1:16" ht="15" customHeight="1" x14ac:dyDescent="0.2">
      <c r="A295" s="35"/>
      <c r="B295" s="449">
        <v>30</v>
      </c>
      <c r="C295" s="463">
        <f t="shared" si="64"/>
        <v>472.96471428571431</v>
      </c>
      <c r="D295" s="463">
        <f t="shared" si="64"/>
        <v>541.96471428571431</v>
      </c>
      <c r="E295" s="463">
        <f t="shared" si="64"/>
        <v>454.96471428571436</v>
      </c>
      <c r="F295" s="463">
        <f t="shared" si="70"/>
        <v>409.81371428571435</v>
      </c>
      <c r="G295" s="463">
        <f t="shared" si="65"/>
        <v>395.81371428571435</v>
      </c>
      <c r="H295" s="464">
        <f t="shared" si="65"/>
        <v>59.151000000000003</v>
      </c>
      <c r="I295" s="465">
        <f t="shared" si="71"/>
        <v>73</v>
      </c>
      <c r="J295" s="463">
        <f t="shared" si="66"/>
        <v>14</v>
      </c>
      <c r="K295" s="710">
        <f t="shared" si="72"/>
        <v>0.13001228038720741</v>
      </c>
      <c r="L295" s="586">
        <f t="shared" si="67"/>
        <v>0.42980166000149983</v>
      </c>
      <c r="M295" s="586">
        <f t="shared" si="68"/>
        <v>0.35968299121228164</v>
      </c>
      <c r="N295" s="586">
        <f t="shared" si="69"/>
        <v>5.3751570108154643E-2</v>
      </c>
      <c r="O295" s="1"/>
      <c r="P295" s="470">
        <f t="shared" si="73"/>
        <v>0.42980166000149983</v>
      </c>
    </row>
    <row r="296" spans="1:16" ht="15" customHeight="1" x14ac:dyDescent="0.2">
      <c r="A296" s="35"/>
      <c r="B296" s="449">
        <v>40</v>
      </c>
      <c r="C296" s="463">
        <f t="shared" si="64"/>
        <v>579.32285714285717</v>
      </c>
      <c r="D296" s="463">
        <f t="shared" si="64"/>
        <v>648.32285714285717</v>
      </c>
      <c r="E296" s="463">
        <f t="shared" si="64"/>
        <v>560.32285714285717</v>
      </c>
      <c r="F296" s="463">
        <f t="shared" si="70"/>
        <v>501.47085714285714</v>
      </c>
      <c r="G296" s="463">
        <f t="shared" si="65"/>
        <v>487.47085714285714</v>
      </c>
      <c r="H296" s="464">
        <f t="shared" si="65"/>
        <v>72.852000000000004</v>
      </c>
      <c r="I296" s="465">
        <f t="shared" si="71"/>
        <v>74</v>
      </c>
      <c r="J296" s="463">
        <f t="shared" si="66"/>
        <v>14</v>
      </c>
      <c r="K296" s="710">
        <f t="shared" si="72"/>
        <v>0.13001789784460999</v>
      </c>
      <c r="L296" s="586">
        <f t="shared" si="67"/>
        <v>0.39484011939376373</v>
      </c>
      <c r="M296" s="586">
        <f t="shared" si="68"/>
        <v>0.33223010540899384</v>
      </c>
      <c r="N296" s="586">
        <f t="shared" si="69"/>
        <v>4.9651435126024282E-2</v>
      </c>
      <c r="O296" s="1"/>
      <c r="P296" s="470">
        <f t="shared" si="73"/>
        <v>0.39484011939376373</v>
      </c>
    </row>
    <row r="297" spans="1:16" ht="15" customHeight="1" x14ac:dyDescent="0.2">
      <c r="A297" s="35"/>
      <c r="B297" s="449">
        <v>50</v>
      </c>
      <c r="C297" s="127">
        <f t="shared" si="64"/>
        <v>681.71828571428568</v>
      </c>
      <c r="D297" s="127">
        <f t="shared" si="64"/>
        <v>750.71828571428568</v>
      </c>
      <c r="E297" s="127">
        <f t="shared" si="64"/>
        <v>661.71828571428568</v>
      </c>
      <c r="F297" s="127">
        <f t="shared" si="70"/>
        <v>589.68228571428574</v>
      </c>
      <c r="G297" s="127">
        <f t="shared" si="65"/>
        <v>575.68228571428574</v>
      </c>
      <c r="H297" s="460">
        <f t="shared" si="65"/>
        <v>86.036000000000001</v>
      </c>
      <c r="I297" s="461">
        <f t="shared" si="71"/>
        <v>75</v>
      </c>
      <c r="J297" s="127">
        <f t="shared" si="66"/>
        <v>14</v>
      </c>
      <c r="K297" s="709">
        <f t="shared" si="72"/>
        <v>0.13001907587777967</v>
      </c>
      <c r="L297" s="585">
        <f t="shared" si="67"/>
        <v>0.37170255032138677</v>
      </c>
      <c r="M297" s="585">
        <f t="shared" si="68"/>
        <v>0.31387966466089312</v>
      </c>
      <c r="N297" s="585">
        <f t="shared" si="69"/>
        <v>4.6909469856724589E-2</v>
      </c>
      <c r="O297" s="1"/>
      <c r="P297" s="469">
        <f t="shared" si="73"/>
        <v>0.37170255032138677</v>
      </c>
    </row>
    <row r="298" spans="1:16" ht="15" customHeight="1" x14ac:dyDescent="0.2">
      <c r="A298" s="35"/>
      <c r="B298" s="1"/>
      <c r="C298" s="1"/>
      <c r="D298" s="1"/>
      <c r="E298" s="1"/>
      <c r="F298" s="1"/>
      <c r="G298" s="1"/>
      <c r="H298" s="1"/>
      <c r="I298" s="1"/>
      <c r="J298" s="1"/>
      <c r="K298" s="1"/>
      <c r="L298" s="1"/>
      <c r="M298" s="1"/>
      <c r="N298" s="1"/>
      <c r="O298" s="1"/>
      <c r="P298" s="22"/>
    </row>
    <row r="299" spans="1:16" ht="15" customHeight="1" x14ac:dyDescent="0.2">
      <c r="A299" s="35"/>
      <c r="B299" s="1"/>
      <c r="C299" s="1"/>
      <c r="D299" s="1"/>
      <c r="E299" s="1"/>
      <c r="F299" s="1"/>
      <c r="G299" s="1"/>
      <c r="H299" s="1"/>
      <c r="I299" s="1"/>
      <c r="J299" s="1"/>
      <c r="K299" s="1"/>
      <c r="L299" s="689" t="s">
        <v>526</v>
      </c>
      <c r="M299" t="s">
        <v>494</v>
      </c>
      <c r="O299" s="767"/>
      <c r="P299" s="22"/>
    </row>
    <row r="300" spans="1:16" ht="15" customHeight="1" x14ac:dyDescent="0.2">
      <c r="A300" s="35"/>
      <c r="B300" s="1"/>
      <c r="C300" s="1"/>
      <c r="D300" s="1"/>
      <c r="E300" s="1"/>
      <c r="F300" s="1"/>
      <c r="G300" s="1"/>
      <c r="H300" s="1"/>
      <c r="I300" s="1"/>
      <c r="J300" s="1"/>
      <c r="K300" s="1"/>
      <c r="M300" s="1"/>
      <c r="N300" s="1"/>
      <c r="O300" s="1"/>
      <c r="P300" s="22"/>
    </row>
    <row r="301" spans="1:16" ht="15" customHeight="1" x14ac:dyDescent="0.2">
      <c r="A301" s="35"/>
      <c r="B301" s="1"/>
      <c r="C301" s="1"/>
      <c r="D301" s="1"/>
      <c r="E301" s="1"/>
      <c r="F301" s="1"/>
      <c r="G301" s="767" t="s">
        <v>539</v>
      </c>
      <c r="H301" s="1"/>
      <c r="I301" s="1"/>
      <c r="J301" s="1"/>
      <c r="K301" s="1"/>
      <c r="L301" s="491" t="s">
        <v>531</v>
      </c>
      <c r="M301" s="280"/>
      <c r="N301" s="1"/>
      <c r="O301" s="1"/>
      <c r="P301" s="22"/>
    </row>
    <row r="302" spans="1:16" ht="15" customHeight="1" x14ac:dyDescent="0.2">
      <c r="A302" s="35"/>
      <c r="B302" s="1"/>
      <c r="C302" s="1"/>
      <c r="D302" s="1"/>
      <c r="E302" s="1"/>
      <c r="F302" s="1"/>
      <c r="G302" s="1"/>
      <c r="H302" s="1"/>
      <c r="I302" s="1"/>
      <c r="J302" s="1"/>
      <c r="K302" s="1"/>
      <c r="L302" s="491" t="s">
        <v>532</v>
      </c>
      <c r="M302" s="1"/>
      <c r="N302" s="1"/>
      <c r="O302" s="1"/>
      <c r="P302" s="22"/>
    </row>
    <row r="303" spans="1:16" ht="15" customHeight="1" x14ac:dyDescent="0.2">
      <c r="A303" s="35"/>
      <c r="B303" s="1"/>
      <c r="C303" s="1"/>
      <c r="D303" s="1"/>
      <c r="E303" s="1"/>
      <c r="F303" s="1"/>
      <c r="G303" s="1"/>
      <c r="H303" s="1"/>
      <c r="I303" s="1"/>
      <c r="J303" s="1"/>
      <c r="K303" s="1"/>
      <c r="L303" s="491" t="s">
        <v>533</v>
      </c>
      <c r="M303" s="1"/>
      <c r="N303" s="1"/>
      <c r="O303" s="1"/>
      <c r="P303" s="22"/>
    </row>
    <row r="304" spans="1:16" ht="15" customHeight="1" x14ac:dyDescent="0.2">
      <c r="A304" s="35"/>
      <c r="B304" s="1"/>
      <c r="C304" s="1"/>
      <c r="D304" s="1"/>
      <c r="E304" s="1"/>
      <c r="F304" s="1"/>
      <c r="G304" s="1"/>
      <c r="H304" s="1"/>
      <c r="I304" s="1"/>
      <c r="J304" s="1"/>
      <c r="K304" s="1"/>
      <c r="L304" s="491" t="s">
        <v>534</v>
      </c>
      <c r="M304" s="1"/>
      <c r="N304" s="1"/>
      <c r="O304" s="1"/>
      <c r="P304" s="22"/>
    </row>
    <row r="305" spans="1:16" ht="15" customHeight="1" x14ac:dyDescent="0.2">
      <c r="A305" s="35"/>
      <c r="B305" s="1"/>
      <c r="C305" s="1"/>
      <c r="D305" s="1"/>
      <c r="E305" s="1"/>
      <c r="F305" s="1"/>
      <c r="G305" s="1"/>
      <c r="H305" s="1"/>
      <c r="I305" s="1"/>
      <c r="J305" s="1"/>
      <c r="K305" s="1"/>
      <c r="L305" s="491" t="s">
        <v>535</v>
      </c>
      <c r="M305" s="1"/>
      <c r="N305" s="1"/>
      <c r="O305" s="1"/>
      <c r="P305" s="22"/>
    </row>
    <row r="306" spans="1:16" ht="15" customHeight="1" x14ac:dyDescent="0.2">
      <c r="A306" s="35"/>
      <c r="B306" s="1"/>
      <c r="C306" s="1"/>
      <c r="D306" s="1"/>
      <c r="E306" s="1"/>
      <c r="F306" s="1"/>
      <c r="G306" s="1"/>
      <c r="H306" s="1"/>
      <c r="I306" s="1"/>
      <c r="J306" s="1"/>
      <c r="K306" s="1"/>
      <c r="L306" s="491" t="s">
        <v>584</v>
      </c>
      <c r="M306" s="1"/>
      <c r="N306" s="1"/>
      <c r="O306" s="1"/>
      <c r="P306" s="22"/>
    </row>
    <row r="307" spans="1:16" ht="15" customHeight="1" x14ac:dyDescent="0.2">
      <c r="A307" s="35"/>
      <c r="B307" s="1"/>
      <c r="C307" s="1"/>
      <c r="D307" s="1"/>
      <c r="E307" s="1"/>
      <c r="F307" s="1"/>
      <c r="G307" s="1"/>
      <c r="H307" s="1"/>
      <c r="I307" s="1"/>
      <c r="J307" s="1"/>
      <c r="K307" s="1"/>
      <c r="L307" s="491" t="s">
        <v>538</v>
      </c>
      <c r="M307" s="1"/>
      <c r="N307" s="1"/>
      <c r="O307" s="1"/>
      <c r="P307" s="22"/>
    </row>
    <row r="308" spans="1:16" ht="15" customHeight="1" x14ac:dyDescent="0.2">
      <c r="A308" s="35"/>
      <c r="B308" s="1"/>
      <c r="C308" s="1"/>
      <c r="D308" s="1"/>
      <c r="E308" s="1"/>
      <c r="F308" s="1"/>
      <c r="G308" s="1"/>
      <c r="H308" s="1"/>
      <c r="I308" s="1"/>
      <c r="J308" s="1"/>
      <c r="K308" s="1"/>
      <c r="L308" s="491"/>
      <c r="M308" s="1"/>
      <c r="N308" s="1"/>
      <c r="O308" s="1"/>
      <c r="P308" s="22"/>
    </row>
    <row r="309" spans="1:16" ht="15" customHeight="1" x14ac:dyDescent="0.2">
      <c r="A309" s="35"/>
      <c r="B309" s="1"/>
      <c r="C309" s="1"/>
      <c r="D309" s="1"/>
      <c r="E309" s="1"/>
      <c r="F309" s="1"/>
      <c r="G309" s="1"/>
      <c r="H309" s="1"/>
      <c r="I309" s="1"/>
      <c r="J309" s="1"/>
      <c r="K309" s="1"/>
      <c r="L309" s="491"/>
      <c r="M309" s="1"/>
      <c r="N309" s="1"/>
      <c r="O309" s="1"/>
      <c r="P309" s="22"/>
    </row>
    <row r="310" spans="1:16" ht="15" customHeight="1" x14ac:dyDescent="0.2">
      <c r="A310" s="36"/>
      <c r="B310" s="24"/>
      <c r="C310" s="24"/>
      <c r="D310" s="24"/>
      <c r="E310" s="24"/>
      <c r="F310" s="24"/>
      <c r="G310" s="24"/>
      <c r="H310" s="24"/>
      <c r="I310" s="24"/>
      <c r="J310" s="24"/>
      <c r="K310" s="24"/>
      <c r="L310" s="24"/>
      <c r="M310" s="24"/>
      <c r="N310" s="24"/>
      <c r="O310" s="24"/>
      <c r="P310" s="17"/>
    </row>
    <row r="311" spans="1:16" ht="15" customHeight="1" x14ac:dyDescent="0.2"/>
    <row r="312" spans="1:16" ht="15" customHeight="1" x14ac:dyDescent="0.2"/>
    <row r="313" spans="1:16" ht="15" customHeight="1" x14ac:dyDescent="0.2"/>
    <row r="314" spans="1:16" ht="15" customHeight="1" x14ac:dyDescent="0.2"/>
    <row r="315" spans="1:16" ht="15" customHeight="1" x14ac:dyDescent="0.2"/>
    <row r="316" spans="1:16" ht="15" customHeight="1" x14ac:dyDescent="0.2"/>
    <row r="317" spans="1:16" ht="15" customHeight="1" x14ac:dyDescent="0.2"/>
    <row r="318" spans="1:16" ht="15" customHeight="1" x14ac:dyDescent="0.2"/>
    <row r="319" spans="1:16" ht="15" customHeight="1" x14ac:dyDescent="0.2"/>
    <row r="320" spans="1:16"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row>
    <row r="327" spans="1:21" ht="15" customHeight="1" x14ac:dyDescent="0.2"/>
    <row r="328" spans="1:21" ht="15" customHeight="1" x14ac:dyDescent="0.2"/>
    <row r="329" spans="1:21" ht="15" customHeight="1" x14ac:dyDescent="0.2"/>
    <row r="330" spans="1:21" ht="15" customHeight="1" x14ac:dyDescent="0.2"/>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sheetData>
  <pageMargins left="0.45" right="0.45" top="0.5" bottom="0.5" header="0.3" footer="0.3"/>
  <pageSetup scale="77"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AD584-4522-44C2-8DD9-3ABBC5C239E0}">
  <sheetPr transitionEvaluation="1" transitionEntry="1">
    <tabColor theme="9" tint="0.39997558519241921"/>
  </sheetPr>
  <dimension ref="A1:AD404"/>
  <sheetViews>
    <sheetView showGridLines="0" tabSelected="1" topLeftCell="A272" zoomScale="90" zoomScaleNormal="90" workbookViewId="0">
      <selection activeCell="I296" sqref="I296"/>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22" t="s">
        <v>715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90_68_38_g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2.1</v>
      </c>
      <c r="B30" s="68">
        <v>1</v>
      </c>
      <c r="C30" s="398">
        <v>2</v>
      </c>
      <c r="D30" s="398">
        <v>2.1</v>
      </c>
      <c r="E30" s="389">
        <f>SUM(C30:D30)/2</f>
        <v>2.0499999999999998</v>
      </c>
      <c r="F30" s="866">
        <f>C30/D30</f>
        <v>0.95238095238095233</v>
      </c>
      <c r="G30" s="874">
        <v>0.9</v>
      </c>
      <c r="I30" s="28" t="s">
        <v>613</v>
      </c>
      <c r="U30" t="s">
        <v>587</v>
      </c>
    </row>
    <row r="31" spans="1:30" ht="15" customHeight="1" x14ac:dyDescent="0.2">
      <c r="A31" s="871">
        <v>3</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3.9</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4.8499999999999996</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5.8</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10.4</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I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t="s">
        <v>701</v>
      </c>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23.5</v>
      </c>
      <c r="C108" s="106">
        <v>1</v>
      </c>
      <c r="D108" s="715">
        <v>23.5</v>
      </c>
      <c r="E108" s="38"/>
      <c r="F108" s="175">
        <v>35.299999999999997</v>
      </c>
    </row>
    <row r="109" spans="1:12" ht="15" customHeight="1" x14ac:dyDescent="0.2">
      <c r="B109" s="716">
        <v>48.1</v>
      </c>
      <c r="C109" s="106">
        <v>2</v>
      </c>
      <c r="D109" s="716">
        <v>48.1</v>
      </c>
      <c r="E109" s="605">
        <f>D109/D108</f>
        <v>2.0468085106382978</v>
      </c>
      <c r="F109" s="176">
        <v>64.2</v>
      </c>
    </row>
    <row r="110" spans="1:12" ht="15" customHeight="1" x14ac:dyDescent="0.2">
      <c r="B110" s="65">
        <v>68.900000000000006</v>
      </c>
      <c r="C110" s="106">
        <v>3</v>
      </c>
      <c r="D110" s="65">
        <v>68.900000000000006</v>
      </c>
      <c r="E110" s="605">
        <f t="shared" ref="E110:E112" si="9">D110/D109</f>
        <v>1.4324324324324325</v>
      </c>
      <c r="F110" s="717">
        <v>88.1</v>
      </c>
    </row>
    <row r="111" spans="1:12" ht="15" customHeight="1" x14ac:dyDescent="0.2">
      <c r="B111" s="65">
        <v>87.5</v>
      </c>
      <c r="C111" s="106">
        <v>4</v>
      </c>
      <c r="D111" s="65">
        <v>87.5</v>
      </c>
      <c r="E111" s="605">
        <f t="shared" si="9"/>
        <v>1.2699564586357037</v>
      </c>
      <c r="F111" s="717">
        <v>107.5</v>
      </c>
    </row>
    <row r="112" spans="1:12" ht="15" customHeight="1" x14ac:dyDescent="0.2">
      <c r="B112" s="716">
        <v>105.1</v>
      </c>
      <c r="C112" s="106">
        <v>5</v>
      </c>
      <c r="D112" s="716">
        <v>105.1</v>
      </c>
      <c r="E112" s="605">
        <f t="shared" si="9"/>
        <v>1.2011428571428571</v>
      </c>
      <c r="F112" s="176">
        <v>123.1</v>
      </c>
    </row>
    <row r="113" spans="1:8" ht="15" customHeight="1" x14ac:dyDescent="0.2">
      <c r="B113" s="65">
        <v>179.9</v>
      </c>
      <c r="C113" s="106">
        <v>10</v>
      </c>
      <c r="D113" s="65">
        <v>179.9</v>
      </c>
      <c r="E113" s="605">
        <f>(D113/D112)/5</f>
        <v>0.34234062797335874</v>
      </c>
      <c r="F113" s="177">
        <v>192.2</v>
      </c>
    </row>
    <row r="114" spans="1:8" ht="15" customHeight="1" x14ac:dyDescent="0.2">
      <c r="B114" s="65">
        <v>303.2</v>
      </c>
      <c r="C114" s="106">
        <v>20</v>
      </c>
      <c r="D114" s="65">
        <v>303.2</v>
      </c>
      <c r="E114" s="605">
        <f>(D114/D113)/10</f>
        <v>0.16853807670928292</v>
      </c>
      <c r="F114" s="177">
        <v>309.10000000000002</v>
      </c>
    </row>
    <row r="115" spans="1:8" ht="15" customHeight="1" x14ac:dyDescent="0.2">
      <c r="B115" s="65">
        <v>410.9</v>
      </c>
      <c r="C115" s="106">
        <v>30</v>
      </c>
      <c r="D115" s="65">
        <v>410.9</v>
      </c>
      <c r="E115" s="605">
        <f t="shared" ref="E115:E117" si="10">(D115/D114)/10</f>
        <v>0.13552110817941951</v>
      </c>
      <c r="F115" s="177">
        <v>413</v>
      </c>
    </row>
    <row r="116" spans="1:8" ht="15" customHeight="1" x14ac:dyDescent="0.2">
      <c r="B116" s="65">
        <v>508.5</v>
      </c>
      <c r="C116" s="106">
        <v>40</v>
      </c>
      <c r="D116" s="65">
        <v>508.5</v>
      </c>
      <c r="E116" s="605">
        <f t="shared" si="10"/>
        <v>0.12375273789243127</v>
      </c>
      <c r="F116" s="177">
        <v>508.6</v>
      </c>
    </row>
    <row r="117" spans="1:8" ht="15" customHeight="1" x14ac:dyDescent="0.2">
      <c r="B117" s="716">
        <v>602.20000000000005</v>
      </c>
      <c r="C117" s="106">
        <v>50</v>
      </c>
      <c r="D117" s="716">
        <v>602.20000000000005</v>
      </c>
      <c r="E117" s="605">
        <f t="shared" si="10"/>
        <v>0.1184267453294002</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0.2333333333333287</v>
      </c>
      <c r="F126" s="408">
        <f>INDEX(LINEST(D$139:D$143,($C$139:$C$143)^{1,2,3}),1)</f>
        <v>9.7500000000001394E-4</v>
      </c>
      <c r="H126" t="s">
        <v>300</v>
      </c>
    </row>
    <row r="127" spans="1:8" ht="15" customHeight="1" x14ac:dyDescent="0.2">
      <c r="E127" s="409" cm="1">
        <f t="array" ref="E127">_xlfn.SINGLE(INDEX(LINEST(D$134:D$138,($C$134:$C$138)^{1,2,3}),2))</f>
        <v>-3.2571428571428096</v>
      </c>
      <c r="F127" s="408">
        <f>INDEX(LINEST(D$139:D$143,($C$139:$C$143)^{1,2,3}),2)</f>
        <v>-0.1372500000000014</v>
      </c>
      <c r="H127" t="s">
        <v>301</v>
      </c>
    </row>
    <row r="128" spans="1:8" ht="15" customHeight="1" x14ac:dyDescent="0.2">
      <c r="E128" s="409">
        <f>INDEX(LINEST(D$134:D$138,($C$134:$C$138)^{1,2,3}),3)</f>
        <v>32.709523809523674</v>
      </c>
      <c r="F128" s="408">
        <f>INDEX(LINEST(D$139:D$143,($C$139:$C$143)^{1,2,3}),3)</f>
        <v>15.770000000000037</v>
      </c>
    </row>
    <row r="129" spans="1:11" ht="15" customHeight="1" x14ac:dyDescent="0.2">
      <c r="E129" s="409">
        <f>INDEX(LINEST(D$134:D$138,($C$134:$C$138)^{1,2,3}),4)</f>
        <v>-6.1799999999999056</v>
      </c>
      <c r="F129" s="408">
        <f>INDEX(LINEST(D$139:D$143,($C$139:$C$143)^{1,2,3}),4)</f>
        <v>34.939999999999799</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23.5</v>
      </c>
      <c r="E134" s="114">
        <f>(E$126*($C134)^3)+(E$127*($C134)^2)+(E$128*($C134)^1)+(E$129)</f>
        <v>23.505714285714284</v>
      </c>
      <c r="F134" s="2"/>
      <c r="H134" s="106">
        <v>1</v>
      </c>
      <c r="I134" s="393">
        <f>E134</f>
        <v>23.505714285714284</v>
      </c>
      <c r="J134" s="109">
        <f>B108</f>
        <v>23.5</v>
      </c>
      <c r="K134" s="410">
        <f>I134-J134</f>
        <v>5.7142857142835624E-3</v>
      </c>
    </row>
    <row r="135" spans="1:11" ht="15" customHeight="1" x14ac:dyDescent="0.2">
      <c r="C135" s="106">
        <v>2</v>
      </c>
      <c r="D135" s="110">
        <f t="shared" ref="D135:D143" si="11">D109</f>
        <v>48.1</v>
      </c>
      <c r="E135" s="114">
        <f>(E$126*($C135)^3)+(E$127*($C135)^2)+(E$128*($C135)^1)+(E$129)</f>
        <v>48.077142857142832</v>
      </c>
      <c r="F135" s="2"/>
      <c r="H135" s="106">
        <v>2</v>
      </c>
      <c r="I135" s="393">
        <f t="shared" ref="I135:I138" si="12">E135</f>
        <v>48.077142857142832</v>
      </c>
      <c r="J135" s="110">
        <f t="shared" ref="J135:J143" si="13">B109</f>
        <v>48.1</v>
      </c>
      <c r="K135" s="411">
        <f t="shared" ref="K135:K143" si="14">I135-J135</f>
        <v>-2.2857142857169777E-2</v>
      </c>
    </row>
    <row r="136" spans="1:11" ht="15" customHeight="1" x14ac:dyDescent="0.2">
      <c r="B136" s="28" t="s">
        <v>308</v>
      </c>
      <c r="C136" s="106">
        <v>3</v>
      </c>
      <c r="D136" s="105">
        <f t="shared" si="11"/>
        <v>68.900000000000006</v>
      </c>
      <c r="E136" s="114">
        <f t="shared" ref="E136" si="15">(E$126*($C136)^3)+(E$127*($C136)^2)+(E$128*($C136)^1)+(E$129)</f>
        <v>68.934285714285707</v>
      </c>
      <c r="F136" s="2"/>
      <c r="H136" s="106">
        <v>3</v>
      </c>
      <c r="I136" s="393">
        <f t="shared" si="12"/>
        <v>68.934285714285707</v>
      </c>
      <c r="J136" s="105">
        <f t="shared" si="13"/>
        <v>68.900000000000006</v>
      </c>
      <c r="K136" s="412">
        <f t="shared" si="14"/>
        <v>3.4285714285701374E-2</v>
      </c>
    </row>
    <row r="137" spans="1:11" ht="15" customHeight="1" x14ac:dyDescent="0.2">
      <c r="C137" s="106">
        <v>4</v>
      </c>
      <c r="D137" s="105">
        <f t="shared" si="11"/>
        <v>87.5</v>
      </c>
      <c r="E137" s="114">
        <f>(E$126*($C137)^3)+(E$127*($C137)^2)+(E$128*($C137)^1)+(E$129)</f>
        <v>87.47714285714288</v>
      </c>
      <c r="F137" s="2"/>
      <c r="H137" s="106">
        <v>4</v>
      </c>
      <c r="I137" s="393">
        <f t="shared" si="12"/>
        <v>87.47714285714288</v>
      </c>
      <c r="J137" s="105">
        <f t="shared" si="13"/>
        <v>87.5</v>
      </c>
      <c r="K137" s="412">
        <f t="shared" si="14"/>
        <v>-2.2857142857120039E-2</v>
      </c>
    </row>
    <row r="138" spans="1:11" ht="15" customHeight="1" x14ac:dyDescent="0.2">
      <c r="C138" s="106">
        <v>5</v>
      </c>
      <c r="D138" s="110">
        <f t="shared" si="11"/>
        <v>105.1</v>
      </c>
      <c r="E138" s="114">
        <f>(E$126*($C138)^3)+(E$127*($C138)^2)+(E$128*($C138)^1)+(E$129)</f>
        <v>105.1057142857143</v>
      </c>
      <c r="F138" s="115"/>
      <c r="H138" s="106">
        <v>5</v>
      </c>
      <c r="I138" s="393">
        <f t="shared" si="12"/>
        <v>105.1057142857143</v>
      </c>
      <c r="J138" s="110">
        <f t="shared" si="13"/>
        <v>105.1</v>
      </c>
      <c r="K138" s="411">
        <f t="shared" si="14"/>
        <v>5.7142857143048786E-3</v>
      </c>
    </row>
    <row r="139" spans="1:11" ht="15" customHeight="1" x14ac:dyDescent="0.2">
      <c r="C139" s="106">
        <v>10</v>
      </c>
      <c r="D139" s="105">
        <f t="shared" si="11"/>
        <v>179.9</v>
      </c>
      <c r="E139" s="114"/>
      <c r="F139" s="115">
        <f>(F$126*($C139)^3)+(F$127*($C139)^2)+(F$128*($C139)^1)+(F$129)</f>
        <v>179.89000000000004</v>
      </c>
      <c r="H139" s="106">
        <v>10</v>
      </c>
      <c r="I139" s="393">
        <f>F139</f>
        <v>179.89000000000004</v>
      </c>
      <c r="J139" s="105">
        <f t="shared" si="13"/>
        <v>179.9</v>
      </c>
      <c r="K139" s="412">
        <f t="shared" si="14"/>
        <v>-9.9999999999624833E-3</v>
      </c>
    </row>
    <row r="140" spans="1:11" ht="15" customHeight="1" x14ac:dyDescent="0.2">
      <c r="C140" s="106">
        <v>20</v>
      </c>
      <c r="D140" s="105">
        <f t="shared" si="11"/>
        <v>303.2</v>
      </c>
      <c r="E140" s="2"/>
      <c r="F140" s="115">
        <f t="shared" ref="F140:F143" si="16">(F$126*($C140)^3)+(F$127*($C140)^2)+(F$128*($C140)^1)+(F$129)</f>
        <v>303.24000000000012</v>
      </c>
      <c r="H140" s="106">
        <v>20</v>
      </c>
      <c r="I140" s="393">
        <f t="shared" ref="I140:I143" si="17">F140</f>
        <v>303.24000000000012</v>
      </c>
      <c r="J140" s="105">
        <f t="shared" si="13"/>
        <v>303.2</v>
      </c>
      <c r="K140" s="412">
        <f t="shared" si="14"/>
        <v>4.000000000013415E-2</v>
      </c>
    </row>
    <row r="141" spans="1:11" ht="15" customHeight="1" x14ac:dyDescent="0.2">
      <c r="B141" s="28" t="s">
        <v>297</v>
      </c>
      <c r="C141" s="106">
        <v>30</v>
      </c>
      <c r="D141" s="105">
        <f t="shared" si="11"/>
        <v>410.9</v>
      </c>
      <c r="E141" s="2"/>
      <c r="F141" s="115">
        <f t="shared" si="16"/>
        <v>410.84000000000003</v>
      </c>
      <c r="H141" s="106">
        <v>30</v>
      </c>
      <c r="I141" s="393">
        <f t="shared" si="17"/>
        <v>410.84000000000003</v>
      </c>
      <c r="J141" s="105">
        <f t="shared" si="13"/>
        <v>410.9</v>
      </c>
      <c r="K141" s="412">
        <f t="shared" si="14"/>
        <v>-5.999999999994543E-2</v>
      </c>
    </row>
    <row r="142" spans="1:11" ht="15" customHeight="1" x14ac:dyDescent="0.2">
      <c r="C142" s="106">
        <v>40</v>
      </c>
      <c r="D142" s="105">
        <f t="shared" si="11"/>
        <v>508.5</v>
      </c>
      <c r="E142" s="2"/>
      <c r="F142" s="115">
        <f t="shared" si="16"/>
        <v>508.53999999999985</v>
      </c>
      <c r="H142" s="106">
        <v>40</v>
      </c>
      <c r="I142" s="393">
        <f t="shared" si="17"/>
        <v>508.53999999999985</v>
      </c>
      <c r="J142" s="105">
        <f t="shared" si="13"/>
        <v>508.5</v>
      </c>
      <c r="K142" s="412">
        <f t="shared" si="14"/>
        <v>3.9999999999849933E-2</v>
      </c>
    </row>
    <row r="143" spans="1:11" ht="15" customHeight="1" x14ac:dyDescent="0.2">
      <c r="C143" s="106">
        <v>50</v>
      </c>
      <c r="D143" s="110">
        <f t="shared" si="11"/>
        <v>602.20000000000005</v>
      </c>
      <c r="E143" s="2"/>
      <c r="F143" s="115">
        <f t="shared" si="16"/>
        <v>602.18999999999983</v>
      </c>
      <c r="H143" s="106">
        <v>50</v>
      </c>
      <c r="I143" s="394">
        <f t="shared" si="17"/>
        <v>602.18999999999983</v>
      </c>
      <c r="J143" s="110">
        <f t="shared" si="13"/>
        <v>602.20000000000005</v>
      </c>
      <c r="K143" s="411">
        <f t="shared" si="14"/>
        <v>-1.0000000000218279E-2</v>
      </c>
    </row>
    <row r="144" spans="1:11" ht="15" customHeight="1" x14ac:dyDescent="0.2">
      <c r="I144" s="38"/>
    </row>
    <row r="145" spans="1:25" ht="15" customHeight="1" x14ac:dyDescent="0.2">
      <c r="D145" s="602">
        <f>D135/D134</f>
        <v>2.0468085106382978</v>
      </c>
      <c r="E145" s="603">
        <f>D138/D135</f>
        <v>2.185031185031185</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23.999714285714283</v>
      </c>
      <c r="D157" s="119">
        <f>I134</f>
        <v>23.505714285714284</v>
      </c>
      <c r="E157" s="118">
        <v>0.49399999999999999</v>
      </c>
      <c r="F157" s="152">
        <f>E157/D157</f>
        <v>2.1016166281755198E-2</v>
      </c>
      <c r="G157" s="374">
        <f t="shared" ref="G157:G166" si="18">G30</f>
        <v>0.9</v>
      </c>
      <c r="H157" s="375">
        <f>E157-G157</f>
        <v>-0.40600000000000003</v>
      </c>
      <c r="J157" s="917">
        <f>C59</f>
        <v>2.1000000000000001E-2</v>
      </c>
      <c r="K157" s="150">
        <f>J157-F157</f>
        <v>-1.6166281755197048E-5</v>
      </c>
      <c r="M157" s="402">
        <f>C157/D157</f>
        <v>1.0210161662817552</v>
      </c>
      <c r="N157" s="143">
        <f>D157*M157</f>
        <v>23.999714285714283</v>
      </c>
      <c r="O157" s="287">
        <f t="shared" ref="O157:O166" si="19">N157-C157</f>
        <v>0</v>
      </c>
      <c r="P157" s="288">
        <f>J157/F157</f>
        <v>0.99923076923076914</v>
      </c>
      <c r="Q157" s="289">
        <f t="shared" ref="Q157:Q166" si="20">P157*E157</f>
        <v>0.49361999999999995</v>
      </c>
      <c r="R157" s="267" t="s">
        <v>200</v>
      </c>
      <c r="U157" s="152">
        <f>E157/D157</f>
        <v>2.1016166281755198E-2</v>
      </c>
      <c r="Y157">
        <f>1.6/1.99</f>
        <v>0.8040201005025126</v>
      </c>
    </row>
    <row r="158" spans="1:25" ht="15" customHeight="1" x14ac:dyDescent="0.2">
      <c r="A158" s="118">
        <v>1.6</v>
      </c>
      <c r="B158" s="106">
        <v>2</v>
      </c>
      <c r="C158" s="120">
        <f t="shared" ref="C158:C166" si="21">D158+E158</f>
        <v>49.517142857142829</v>
      </c>
      <c r="D158" s="120">
        <f t="shared" ref="D158:D166" si="22">I135</f>
        <v>48.077142857142832</v>
      </c>
      <c r="E158" s="118">
        <v>1.44</v>
      </c>
      <c r="F158" s="153">
        <f t="shared" ref="F158:F166" si="23">E158/D158</f>
        <v>2.9951863077197376E-2</v>
      </c>
      <c r="G158" s="376">
        <f t="shared" si="18"/>
        <v>1.6</v>
      </c>
      <c r="H158" s="377">
        <f t="shared" ref="H158:H166" si="24">E158-G158</f>
        <v>-0.16000000000000014</v>
      </c>
      <c r="J158" s="402">
        <f t="shared" ref="J158:J166" si="25">C60</f>
        <v>0.03</v>
      </c>
      <c r="K158" s="150">
        <f t="shared" ref="K158:K165" si="26">J158-F158</f>
        <v>4.8136922802623217E-5</v>
      </c>
      <c r="M158" s="402">
        <f t="shared" ref="M158:M166" si="27">C158/D158</f>
        <v>1.0299518630771973</v>
      </c>
      <c r="N158" s="144">
        <f t="shared" ref="N158:N166" si="28">D158*M158</f>
        <v>49.517142857142829</v>
      </c>
      <c r="O158" s="287">
        <f t="shared" si="19"/>
        <v>0</v>
      </c>
      <c r="P158" s="288">
        <f t="shared" ref="P158:P166" si="29">J158/F158</f>
        <v>1.0016071428571423</v>
      </c>
      <c r="Q158" s="290">
        <f t="shared" si="20"/>
        <v>1.4423142857142848</v>
      </c>
      <c r="R158" s="267" t="s">
        <v>312</v>
      </c>
      <c r="U158" s="152">
        <f t="shared" ref="U158:U166" si="30">E158/D158</f>
        <v>2.9951863077197376E-2</v>
      </c>
    </row>
    <row r="159" spans="1:25" ht="15" customHeight="1" x14ac:dyDescent="0.2">
      <c r="A159" s="118">
        <v>2.6</v>
      </c>
      <c r="B159" s="106">
        <v>3</v>
      </c>
      <c r="C159" s="121">
        <f t="shared" si="21"/>
        <v>71.624285714285705</v>
      </c>
      <c r="D159" s="121">
        <f t="shared" si="22"/>
        <v>68.934285714285707</v>
      </c>
      <c r="E159" s="118">
        <v>2.69</v>
      </c>
      <c r="F159" s="154">
        <f t="shared" si="23"/>
        <v>3.9022671695610731E-2</v>
      </c>
      <c r="G159" s="378">
        <f t="shared" si="18"/>
        <v>2.6</v>
      </c>
      <c r="H159" s="379">
        <f t="shared" si="24"/>
        <v>8.9999999999999858E-2</v>
      </c>
      <c r="J159" s="402">
        <f t="shared" si="25"/>
        <v>3.9E-2</v>
      </c>
      <c r="K159" s="150">
        <f t="shared" si="26"/>
        <v>-2.2671695610730624E-5</v>
      </c>
      <c r="M159" s="402">
        <f t="shared" si="27"/>
        <v>1.0390226716956108</v>
      </c>
      <c r="N159" s="145">
        <f t="shared" si="28"/>
        <v>71.624285714285705</v>
      </c>
      <c r="O159" s="287">
        <f t="shared" si="19"/>
        <v>0</v>
      </c>
      <c r="P159" s="288">
        <f t="shared" si="29"/>
        <v>0.99941901221455109</v>
      </c>
      <c r="Q159" s="288">
        <f t="shared" si="20"/>
        <v>2.6884371428571425</v>
      </c>
      <c r="R159" s="267" t="s">
        <v>143</v>
      </c>
      <c r="U159" s="152">
        <f t="shared" si="30"/>
        <v>3.9022671695610731E-2</v>
      </c>
    </row>
    <row r="160" spans="1:25" ht="15" customHeight="1" x14ac:dyDescent="0.2">
      <c r="A160" s="118">
        <v>3.8</v>
      </c>
      <c r="B160" s="106">
        <v>4</v>
      </c>
      <c r="C160" s="121">
        <f t="shared" si="21"/>
        <v>91.717142857142875</v>
      </c>
      <c r="D160" s="121">
        <f t="shared" si="22"/>
        <v>87.47714285714288</v>
      </c>
      <c r="E160" s="118">
        <v>4.24</v>
      </c>
      <c r="F160" s="154">
        <f t="shared" si="23"/>
        <v>4.8469804357056528E-2</v>
      </c>
      <c r="G160" s="378">
        <f t="shared" si="18"/>
        <v>3.8</v>
      </c>
      <c r="H160" s="379">
        <f t="shared" si="24"/>
        <v>0.44000000000000039</v>
      </c>
      <c r="J160" s="402">
        <f t="shared" si="25"/>
        <v>4.8499999999999995E-2</v>
      </c>
      <c r="K160" s="150">
        <f t="shared" si="26"/>
        <v>3.019564294346605E-5</v>
      </c>
      <c r="M160" s="402">
        <f t="shared" si="27"/>
        <v>1.0484698043570564</v>
      </c>
      <c r="N160" s="145">
        <f t="shared" si="28"/>
        <v>91.717142857142875</v>
      </c>
      <c r="O160" s="287">
        <f t="shared" si="19"/>
        <v>0</v>
      </c>
      <c r="P160" s="288">
        <f t="shared" si="29"/>
        <v>1.0006229784366578</v>
      </c>
      <c r="Q160" s="288">
        <f t="shared" si="20"/>
        <v>4.2426414285714298</v>
      </c>
      <c r="R160" s="88" t="s">
        <v>142</v>
      </c>
      <c r="U160" s="152">
        <f t="shared" si="30"/>
        <v>4.8469804357056528E-2</v>
      </c>
    </row>
    <row r="161" spans="1:25" ht="15" customHeight="1" x14ac:dyDescent="0.2">
      <c r="A161" s="118">
        <v>5.0999999999999996</v>
      </c>
      <c r="B161" s="106">
        <v>5</v>
      </c>
      <c r="C161" s="120">
        <f t="shared" si="21"/>
        <v>111.20571428571429</v>
      </c>
      <c r="D161" s="120">
        <f t="shared" si="22"/>
        <v>105.1057142857143</v>
      </c>
      <c r="E161" s="118">
        <v>6.1</v>
      </c>
      <c r="F161" s="153">
        <f t="shared" si="23"/>
        <v>5.8036806480550186E-2</v>
      </c>
      <c r="G161" s="376">
        <f t="shared" si="18"/>
        <v>5.0999999999999996</v>
      </c>
      <c r="H161" s="377">
        <f t="shared" si="24"/>
        <v>1</v>
      </c>
      <c r="J161" s="402">
        <f t="shared" si="25"/>
        <v>5.7999999999999996E-2</v>
      </c>
      <c r="K161" s="150">
        <f t="shared" si="26"/>
        <v>-3.6806480550190257E-5</v>
      </c>
      <c r="M161" s="402">
        <f t="shared" si="27"/>
        <v>1.0580368064805501</v>
      </c>
      <c r="N161" s="144">
        <f t="shared" si="28"/>
        <v>111.20571428571429</v>
      </c>
      <c r="O161" s="287">
        <f t="shared" si="19"/>
        <v>0</v>
      </c>
      <c r="P161" s="288">
        <f t="shared" si="29"/>
        <v>0.99936580796252938</v>
      </c>
      <c r="Q161" s="290">
        <f t="shared" si="20"/>
        <v>6.0961314285714288</v>
      </c>
      <c r="U161" s="152">
        <f t="shared" si="30"/>
        <v>5.8036806480550186E-2</v>
      </c>
      <c r="Y161">
        <f>0.9/0.75</f>
        <v>1.2</v>
      </c>
    </row>
    <row r="162" spans="1:25" ht="15" customHeight="1" x14ac:dyDescent="0.2">
      <c r="A162" s="118">
        <v>15.1</v>
      </c>
      <c r="B162" s="106">
        <v>10</v>
      </c>
      <c r="C162" s="121">
        <f t="shared" si="21"/>
        <v>198.59000000000003</v>
      </c>
      <c r="D162" s="121">
        <f t="shared" si="22"/>
        <v>179.89000000000004</v>
      </c>
      <c r="E162" s="118">
        <v>18.7</v>
      </c>
      <c r="F162" s="154">
        <f t="shared" si="23"/>
        <v>0.10395241536494522</v>
      </c>
      <c r="G162" s="378">
        <f t="shared" si="18"/>
        <v>15.1</v>
      </c>
      <c r="H162" s="379">
        <f t="shared" si="24"/>
        <v>3.5999999999999996</v>
      </c>
      <c r="J162" s="402">
        <f t="shared" si="25"/>
        <v>0.10400000000000001</v>
      </c>
      <c r="K162" s="150">
        <f t="shared" si="26"/>
        <v>4.7584635054789826E-5</v>
      </c>
      <c r="M162" s="402">
        <f t="shared" si="27"/>
        <v>1.1039524153649451</v>
      </c>
      <c r="N162" s="145">
        <f t="shared" si="28"/>
        <v>198.59000000000003</v>
      </c>
      <c r="O162" s="287">
        <f t="shared" si="19"/>
        <v>0</v>
      </c>
      <c r="P162" s="288">
        <f t="shared" si="29"/>
        <v>1.0004577540106956</v>
      </c>
      <c r="Q162" s="288">
        <f t="shared" si="20"/>
        <v>18.708560000000006</v>
      </c>
      <c r="U162" s="152">
        <f t="shared" si="30"/>
        <v>0.10395241536494522</v>
      </c>
    </row>
    <row r="163" spans="1:25" ht="15" customHeight="1" x14ac:dyDescent="0.2">
      <c r="A163" s="118">
        <v>44</v>
      </c>
      <c r="B163" s="106">
        <v>20</v>
      </c>
      <c r="C163" s="121">
        <f t="shared" si="21"/>
        <v>348.74000000000012</v>
      </c>
      <c r="D163" s="121">
        <f t="shared" si="22"/>
        <v>303.24000000000012</v>
      </c>
      <c r="E163" s="118">
        <v>45.5</v>
      </c>
      <c r="F163" s="154">
        <f t="shared" si="23"/>
        <v>0.15004616805170815</v>
      </c>
      <c r="G163" s="378">
        <f t="shared" si="18"/>
        <v>44</v>
      </c>
      <c r="H163" s="379">
        <f t="shared" si="24"/>
        <v>1.5</v>
      </c>
      <c r="J163" s="402">
        <f t="shared" si="25"/>
        <v>0.15</v>
      </c>
      <c r="K163" s="150">
        <f t="shared" si="26"/>
        <v>-4.6168051708150859E-5</v>
      </c>
      <c r="M163" s="402">
        <f t="shared" si="27"/>
        <v>1.1500461680517082</v>
      </c>
      <c r="N163" s="145">
        <f t="shared" si="28"/>
        <v>348.74000000000012</v>
      </c>
      <c r="O163" s="287">
        <f t="shared" si="19"/>
        <v>0</v>
      </c>
      <c r="P163" s="288">
        <f t="shared" si="29"/>
        <v>0.9996923076923081</v>
      </c>
      <c r="Q163" s="288">
        <f t="shared" si="20"/>
        <v>45.486000000000018</v>
      </c>
      <c r="U163" s="152">
        <f t="shared" si="30"/>
        <v>0.15004616805170815</v>
      </c>
    </row>
    <row r="164" spans="1:25" ht="15" customHeight="1" x14ac:dyDescent="0.2">
      <c r="A164" s="118">
        <v>63.1</v>
      </c>
      <c r="B164" s="106">
        <v>30</v>
      </c>
      <c r="C164" s="121">
        <f>D164+E164</f>
        <v>472.48</v>
      </c>
      <c r="D164" s="121">
        <f t="shared" si="22"/>
        <v>410.84000000000003</v>
      </c>
      <c r="E164" s="118">
        <v>61.64</v>
      </c>
      <c r="F164" s="154">
        <f t="shared" si="23"/>
        <v>0.15003407652614156</v>
      </c>
      <c r="G164" s="378">
        <f t="shared" si="18"/>
        <v>63.1</v>
      </c>
      <c r="H164" s="379">
        <f t="shared" si="24"/>
        <v>-1.4600000000000009</v>
      </c>
      <c r="J164" s="402">
        <f t="shared" si="25"/>
        <v>0.15</v>
      </c>
      <c r="K164" s="150">
        <f t="shared" si="26"/>
        <v>-3.4076526141568753E-5</v>
      </c>
      <c r="M164" s="402">
        <f t="shared" si="27"/>
        <v>1.1500340765261414</v>
      </c>
      <c r="N164" s="145">
        <f t="shared" si="28"/>
        <v>472.47999999999996</v>
      </c>
      <c r="O164" s="287">
        <f t="shared" si="19"/>
        <v>0</v>
      </c>
      <c r="P164" s="288">
        <f t="shared" si="29"/>
        <v>0.99977287475665144</v>
      </c>
      <c r="Q164" s="288">
        <f t="shared" si="20"/>
        <v>61.625999999999998</v>
      </c>
      <c r="U164" s="152">
        <f t="shared" si="30"/>
        <v>0.15003407652614156</v>
      </c>
    </row>
    <row r="165" spans="1:25" ht="15" customHeight="1" x14ac:dyDescent="0.2">
      <c r="A165" s="118">
        <v>78.8</v>
      </c>
      <c r="B165" s="106">
        <v>40</v>
      </c>
      <c r="C165" s="121">
        <f t="shared" si="21"/>
        <v>584.78999999999985</v>
      </c>
      <c r="D165" s="121">
        <f t="shared" si="22"/>
        <v>508.53999999999985</v>
      </c>
      <c r="E165" s="118">
        <v>76.25</v>
      </c>
      <c r="F165" s="154">
        <f t="shared" si="23"/>
        <v>0.14993904117670198</v>
      </c>
      <c r="G165" s="378">
        <f t="shared" si="18"/>
        <v>78.8</v>
      </c>
      <c r="H165" s="379">
        <f t="shared" si="24"/>
        <v>-2.5499999999999972</v>
      </c>
      <c r="J165" s="402">
        <f t="shared" si="25"/>
        <v>0.15</v>
      </c>
      <c r="K165" s="150">
        <f t="shared" si="26"/>
        <v>6.0958823298012943E-5</v>
      </c>
      <c r="M165" s="402">
        <f t="shared" si="27"/>
        <v>1.1499390411767019</v>
      </c>
      <c r="N165" s="145">
        <f t="shared" si="28"/>
        <v>584.78999999999985</v>
      </c>
      <c r="O165" s="287">
        <f t="shared" si="19"/>
        <v>0</v>
      </c>
      <c r="P165" s="288">
        <f t="shared" si="29"/>
        <v>1.0004065573770489</v>
      </c>
      <c r="Q165" s="288">
        <f t="shared" si="20"/>
        <v>76.280999999999977</v>
      </c>
      <c r="U165" s="152">
        <f t="shared" si="30"/>
        <v>0.14993904117670198</v>
      </c>
    </row>
    <row r="166" spans="1:25" ht="15" customHeight="1" x14ac:dyDescent="0.2">
      <c r="A166" s="118">
        <v>93.8</v>
      </c>
      <c r="B166" s="106">
        <v>50</v>
      </c>
      <c r="C166" s="120">
        <f t="shared" si="21"/>
        <v>692.48999999999978</v>
      </c>
      <c r="D166" s="120">
        <f t="shared" si="22"/>
        <v>602.18999999999983</v>
      </c>
      <c r="E166" s="118">
        <v>90.3</v>
      </c>
      <c r="F166" s="153">
        <f t="shared" si="23"/>
        <v>0.14995267274448268</v>
      </c>
      <c r="G166" s="380">
        <f t="shared" si="18"/>
        <v>93.8</v>
      </c>
      <c r="H166" s="381">
        <f t="shared" si="24"/>
        <v>-3.5</v>
      </c>
      <c r="J166" s="403">
        <f t="shared" si="25"/>
        <v>0.15</v>
      </c>
      <c r="K166" s="151">
        <f>J166-F166</f>
        <v>4.7327255517315425E-5</v>
      </c>
      <c r="M166" s="403">
        <f t="shared" si="27"/>
        <v>1.1499526727444827</v>
      </c>
      <c r="N166" s="146">
        <f t="shared" si="28"/>
        <v>692.48999999999978</v>
      </c>
      <c r="O166" s="287">
        <f t="shared" si="19"/>
        <v>0</v>
      </c>
      <c r="P166" s="288">
        <f t="shared" si="29"/>
        <v>1.0003156146179399</v>
      </c>
      <c r="Q166" s="290">
        <f t="shared" si="20"/>
        <v>90.328499999999977</v>
      </c>
      <c r="U166" s="152">
        <f t="shared" si="30"/>
        <v>0.14995267274448268</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c r="U182" t="s">
        <v>705</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t="s">
        <v>706</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U184" s="28" t="s">
        <v>707</v>
      </c>
    </row>
    <row r="185" spans="2:26" ht="15" customHeight="1" x14ac:dyDescent="0.2">
      <c r="B185" s="106">
        <v>1</v>
      </c>
      <c r="C185" s="119">
        <f>(D185-J185)</f>
        <v>33.999714285714276</v>
      </c>
      <c r="D185" s="698">
        <f>(F185+G185+M185+L185)+$E$179</f>
        <v>104.99971428571428</v>
      </c>
      <c r="E185" s="119">
        <f>F185+G185</f>
        <v>23.999714285714283</v>
      </c>
      <c r="F185" s="119">
        <f t="shared" ref="F185:G194" si="31">D157</f>
        <v>23.505714285714284</v>
      </c>
      <c r="G185" s="175">
        <f t="shared" si="31"/>
        <v>0.49399999999999999</v>
      </c>
      <c r="H185" s="155">
        <f>G185/F185</f>
        <v>2.1016166281755198E-2</v>
      </c>
      <c r="I185" s="119">
        <f>O185</f>
        <v>75</v>
      </c>
      <c r="J185" s="694">
        <v>71</v>
      </c>
      <c r="K185" s="690">
        <v>4</v>
      </c>
      <c r="L185" s="507">
        <f>P185</f>
        <v>6</v>
      </c>
      <c r="M185" s="497">
        <f>O185</f>
        <v>75</v>
      </c>
      <c r="N185" t="s">
        <v>34</v>
      </c>
      <c r="O185" s="417">
        <v>75</v>
      </c>
      <c r="P185" s="417">
        <v>6</v>
      </c>
      <c r="Q185" s="422">
        <v>109</v>
      </c>
      <c r="R185" s="432">
        <f>D185-Q185</f>
        <v>-4.0002857142857238</v>
      </c>
      <c r="S185" s="433">
        <f t="shared" ref="S185:S194" si="32">G185-G30</f>
        <v>-0.40600000000000003</v>
      </c>
      <c r="T185" s="420">
        <v>13.9</v>
      </c>
      <c r="U185">
        <v>6</v>
      </c>
      <c r="X185" s="106">
        <v>1</v>
      </c>
      <c r="Y185">
        <v>3.8</v>
      </c>
    </row>
    <row r="186" spans="2:26" ht="15" customHeight="1" x14ac:dyDescent="0.2">
      <c r="B186" s="106">
        <v>2</v>
      </c>
      <c r="C186" s="120">
        <f t="shared" ref="C186:C193" si="33">(D186-J186)</f>
        <v>62.517142857142829</v>
      </c>
      <c r="D186" s="699">
        <f t="shared" ref="D186:D193" si="34">(F186+G186+M186+L186)+$E$179</f>
        <v>133.51714285714283</v>
      </c>
      <c r="E186" s="120">
        <f t="shared" ref="E186:E191" si="35">F186+G186</f>
        <v>49.517142857142829</v>
      </c>
      <c r="F186" s="120">
        <f t="shared" si="31"/>
        <v>48.077142857142832</v>
      </c>
      <c r="G186" s="176">
        <f t="shared" si="31"/>
        <v>1.44</v>
      </c>
      <c r="H186" s="156">
        <f t="shared" ref="H186:H194" si="36">G186/F186</f>
        <v>2.9951863077197376E-2</v>
      </c>
      <c r="I186" s="120">
        <f t="shared" ref="I186:I194" si="37">O186</f>
        <v>75</v>
      </c>
      <c r="J186" s="695">
        <f>J185</f>
        <v>71</v>
      </c>
      <c r="K186" s="691">
        <v>4</v>
      </c>
      <c r="L186" s="507">
        <f t="shared" ref="L186:L194" si="38">P186</f>
        <v>9</v>
      </c>
      <c r="M186" s="497">
        <f t="shared" ref="M186:M194" si="39">O186</f>
        <v>75</v>
      </c>
      <c r="N186" t="s">
        <v>697</v>
      </c>
      <c r="O186" s="242">
        <v>75</v>
      </c>
      <c r="P186" s="419">
        <v>9</v>
      </c>
      <c r="Q186" s="423">
        <v>148</v>
      </c>
      <c r="R186" s="434">
        <f t="shared" ref="R186:R194" si="40">D186-Q186</f>
        <v>-14.482857142857171</v>
      </c>
      <c r="S186" s="435">
        <f t="shared" si="32"/>
        <v>-0.16000000000000014</v>
      </c>
      <c r="U186">
        <v>9</v>
      </c>
      <c r="X186" s="106">
        <v>2</v>
      </c>
      <c r="Y186">
        <v>5.0999999999999996</v>
      </c>
    </row>
    <row r="187" spans="2:26" ht="15" customHeight="1" x14ac:dyDescent="0.2">
      <c r="B187" s="106">
        <v>3</v>
      </c>
      <c r="C187" s="121">
        <f t="shared" si="33"/>
        <v>86.424285714285702</v>
      </c>
      <c r="D187" s="700">
        <f>(F187+G187+M187+L187)+$E$179</f>
        <v>157.4242857142857</v>
      </c>
      <c r="E187" s="121">
        <f t="shared" si="35"/>
        <v>71.624285714285705</v>
      </c>
      <c r="F187" s="121">
        <f t="shared" si="31"/>
        <v>68.934285714285707</v>
      </c>
      <c r="G187" s="177">
        <f t="shared" si="31"/>
        <v>2.69</v>
      </c>
      <c r="H187" s="157">
        <f t="shared" si="36"/>
        <v>3.9022671695610731E-2</v>
      </c>
      <c r="I187" s="121">
        <f t="shared" si="37"/>
        <v>75</v>
      </c>
      <c r="J187" s="696">
        <f t="shared" ref="J187:J194" si="41">J186</f>
        <v>71</v>
      </c>
      <c r="K187" s="692">
        <v>4</v>
      </c>
      <c r="L187" s="507">
        <f t="shared" si="38"/>
        <v>10.8</v>
      </c>
      <c r="M187" s="497">
        <f t="shared" si="39"/>
        <v>75</v>
      </c>
      <c r="O187" s="243">
        <v>75</v>
      </c>
      <c r="P187" s="243">
        <v>10.8</v>
      </c>
      <c r="Q187" s="424">
        <v>172</v>
      </c>
      <c r="R187" s="436">
        <f t="shared" si="40"/>
        <v>-14.575714285714298</v>
      </c>
      <c r="S187" s="437">
        <f t="shared" si="32"/>
        <v>8.9999999999999858E-2</v>
      </c>
      <c r="U187">
        <v>10.8</v>
      </c>
      <c r="X187" s="106">
        <v>3</v>
      </c>
      <c r="Y187">
        <v>6.2</v>
      </c>
    </row>
    <row r="188" spans="2:26" ht="15" customHeight="1" x14ac:dyDescent="0.2">
      <c r="B188" s="106">
        <v>4</v>
      </c>
      <c r="C188" s="121">
        <f t="shared" si="33"/>
        <v>107.71714285714287</v>
      </c>
      <c r="D188" s="700">
        <f t="shared" si="34"/>
        <v>178.71714285714287</v>
      </c>
      <c r="E188" s="121">
        <f t="shared" si="35"/>
        <v>91.717142857142875</v>
      </c>
      <c r="F188" s="121">
        <f t="shared" si="31"/>
        <v>87.47714285714288</v>
      </c>
      <c r="G188" s="177">
        <f t="shared" si="31"/>
        <v>4.24</v>
      </c>
      <c r="H188" s="157">
        <f t="shared" si="36"/>
        <v>4.8469804357056528E-2</v>
      </c>
      <c r="I188" s="121">
        <f t="shared" si="37"/>
        <v>75</v>
      </c>
      <c r="J188" s="696">
        <f t="shared" si="41"/>
        <v>71</v>
      </c>
      <c r="K188" s="692">
        <v>4</v>
      </c>
      <c r="L188" s="507">
        <f t="shared" si="38"/>
        <v>12</v>
      </c>
      <c r="M188" s="497">
        <f t="shared" si="39"/>
        <v>75</v>
      </c>
      <c r="O188" s="243">
        <v>75</v>
      </c>
      <c r="P188" s="243">
        <v>12</v>
      </c>
      <c r="Q188" s="424">
        <v>191</v>
      </c>
      <c r="R188" s="436">
        <f t="shared" si="40"/>
        <v>-12.282857142857125</v>
      </c>
      <c r="S188" s="437">
        <f t="shared" si="32"/>
        <v>0.44000000000000039</v>
      </c>
      <c r="U188">
        <v>12</v>
      </c>
      <c r="X188" s="106">
        <v>4</v>
      </c>
      <c r="Y188">
        <v>7.1</v>
      </c>
    </row>
    <row r="189" spans="2:26" ht="15" customHeight="1" x14ac:dyDescent="0.2">
      <c r="B189" s="106">
        <v>5</v>
      </c>
      <c r="C189" s="120">
        <f t="shared" si="33"/>
        <v>127.70571428571429</v>
      </c>
      <c r="D189" s="699">
        <f t="shared" si="34"/>
        <v>198.70571428571429</v>
      </c>
      <c r="E189" s="120">
        <f t="shared" si="35"/>
        <v>111.20571428571429</v>
      </c>
      <c r="F189" s="120">
        <f t="shared" si="31"/>
        <v>105.1057142857143</v>
      </c>
      <c r="G189" s="176">
        <f t="shared" si="31"/>
        <v>6.1</v>
      </c>
      <c r="H189" s="156">
        <f t="shared" si="36"/>
        <v>5.8036806480550186E-2</v>
      </c>
      <c r="I189" s="120">
        <f t="shared" si="37"/>
        <v>75</v>
      </c>
      <c r="J189" s="695">
        <f t="shared" si="41"/>
        <v>71</v>
      </c>
      <c r="K189" s="691">
        <v>4</v>
      </c>
      <c r="L189" s="507">
        <f t="shared" si="38"/>
        <v>12.5</v>
      </c>
      <c r="M189" s="497">
        <f t="shared" si="39"/>
        <v>75</v>
      </c>
      <c r="O189" s="242">
        <v>75</v>
      </c>
      <c r="P189" s="242">
        <v>12.5</v>
      </c>
      <c r="Q189" s="423">
        <v>209</v>
      </c>
      <c r="R189" s="434">
        <f t="shared" si="40"/>
        <v>-10.294285714285706</v>
      </c>
      <c r="S189" s="435">
        <f t="shared" si="32"/>
        <v>1</v>
      </c>
      <c r="U189">
        <v>12.5</v>
      </c>
      <c r="X189" s="106">
        <v>5</v>
      </c>
      <c r="Y189">
        <v>8</v>
      </c>
    </row>
    <row r="190" spans="2:26" ht="15" customHeight="1" x14ac:dyDescent="0.2">
      <c r="B190" s="106">
        <v>10</v>
      </c>
      <c r="C190" s="121">
        <f t="shared" si="33"/>
        <v>216.19000000000005</v>
      </c>
      <c r="D190" s="700">
        <f t="shared" si="34"/>
        <v>287.19000000000005</v>
      </c>
      <c r="E190" s="121">
        <f t="shared" si="35"/>
        <v>198.59000000000003</v>
      </c>
      <c r="F190" s="121">
        <f t="shared" si="31"/>
        <v>179.89000000000004</v>
      </c>
      <c r="G190" s="177">
        <f t="shared" si="31"/>
        <v>18.7</v>
      </c>
      <c r="H190" s="157">
        <f t="shared" si="36"/>
        <v>0.10395241536494522</v>
      </c>
      <c r="I190" s="121">
        <f t="shared" si="37"/>
        <v>75</v>
      </c>
      <c r="J190" s="696">
        <f t="shared" si="41"/>
        <v>71</v>
      </c>
      <c r="K190" s="692">
        <v>4</v>
      </c>
      <c r="L190" s="507">
        <f t="shared" si="38"/>
        <v>13.6</v>
      </c>
      <c r="M190" s="497">
        <f t="shared" si="39"/>
        <v>75</v>
      </c>
      <c r="O190" s="243">
        <v>75</v>
      </c>
      <c r="P190" s="243">
        <v>13.6</v>
      </c>
      <c r="Q190" s="424">
        <v>287</v>
      </c>
      <c r="R190" s="436">
        <f t="shared" si="40"/>
        <v>0.19000000000005457</v>
      </c>
      <c r="S190" s="437">
        <f t="shared" si="32"/>
        <v>3.5999999999999996</v>
      </c>
      <c r="U190">
        <v>13.6</v>
      </c>
      <c r="X190" s="106">
        <v>10</v>
      </c>
      <c r="Y190">
        <v>10.199999999999999</v>
      </c>
    </row>
    <row r="191" spans="2:26" ht="15" customHeight="1" x14ac:dyDescent="0.2">
      <c r="B191" s="106">
        <v>20</v>
      </c>
      <c r="C191" s="121">
        <f t="shared" si="33"/>
        <v>367.34000000000015</v>
      </c>
      <c r="D191" s="700">
        <f t="shared" si="34"/>
        <v>438.34000000000015</v>
      </c>
      <c r="E191" s="121">
        <f t="shared" si="35"/>
        <v>348.74000000000012</v>
      </c>
      <c r="F191" s="121">
        <f t="shared" si="31"/>
        <v>303.24000000000012</v>
      </c>
      <c r="G191" s="177">
        <f t="shared" si="31"/>
        <v>45.5</v>
      </c>
      <c r="H191" s="157">
        <f t="shared" si="36"/>
        <v>0.15004616805170815</v>
      </c>
      <c r="I191" s="121">
        <f t="shared" si="37"/>
        <v>75</v>
      </c>
      <c r="J191" s="696">
        <f t="shared" si="41"/>
        <v>71</v>
      </c>
      <c r="K191" s="692">
        <v>4</v>
      </c>
      <c r="L191" s="507">
        <f t="shared" si="38"/>
        <v>14.6</v>
      </c>
      <c r="M191" s="497">
        <f t="shared" si="39"/>
        <v>75</v>
      </c>
      <c r="O191" s="243">
        <v>75</v>
      </c>
      <c r="P191" s="243">
        <v>14.6</v>
      </c>
      <c r="Q191" s="424">
        <v>439</v>
      </c>
      <c r="R191" s="436">
        <f t="shared" si="40"/>
        <v>-0.65999999999985448</v>
      </c>
      <c r="S191" s="437">
        <f t="shared" si="32"/>
        <v>1.5</v>
      </c>
      <c r="U191">
        <v>14.6</v>
      </c>
      <c r="X191" s="106">
        <v>20</v>
      </c>
      <c r="Y191">
        <v>11.8</v>
      </c>
    </row>
    <row r="192" spans="2:26" ht="15" customHeight="1" x14ac:dyDescent="0.2">
      <c r="B192" s="106">
        <v>30</v>
      </c>
      <c r="C192" s="121">
        <f t="shared" si="33"/>
        <v>491.58000000000004</v>
      </c>
      <c r="D192" s="700">
        <f t="shared" si="34"/>
        <v>562.58000000000004</v>
      </c>
      <c r="E192" s="121">
        <f>F192+G192</f>
        <v>472.48</v>
      </c>
      <c r="F192" s="121">
        <f t="shared" si="31"/>
        <v>410.84000000000003</v>
      </c>
      <c r="G192" s="177">
        <f t="shared" si="31"/>
        <v>61.64</v>
      </c>
      <c r="H192" s="157">
        <f t="shared" si="36"/>
        <v>0.15003407652614156</v>
      </c>
      <c r="I192" s="121">
        <f t="shared" si="37"/>
        <v>75</v>
      </c>
      <c r="J192" s="696">
        <f t="shared" si="41"/>
        <v>71</v>
      </c>
      <c r="K192" s="692">
        <v>4</v>
      </c>
      <c r="L192" s="507">
        <f t="shared" si="38"/>
        <v>15.1</v>
      </c>
      <c r="M192" s="497">
        <f t="shared" si="39"/>
        <v>75</v>
      </c>
      <c r="O192" s="243">
        <v>75</v>
      </c>
      <c r="P192" s="243">
        <v>15.1</v>
      </c>
      <c r="Q192" s="424">
        <v>562</v>
      </c>
      <c r="R192" s="436">
        <f t="shared" si="40"/>
        <v>0.58000000000004093</v>
      </c>
      <c r="S192" s="437">
        <f t="shared" si="32"/>
        <v>-1.4600000000000009</v>
      </c>
      <c r="U192">
        <v>15.1</v>
      </c>
      <c r="X192" s="106">
        <v>30</v>
      </c>
      <c r="Y192">
        <v>12.4</v>
      </c>
    </row>
    <row r="193" spans="1:25" ht="15" customHeight="1" x14ac:dyDescent="0.2">
      <c r="B193" s="106">
        <v>40</v>
      </c>
      <c r="C193" s="121">
        <f t="shared" si="33"/>
        <v>605.28999999999985</v>
      </c>
      <c r="D193" s="700">
        <f t="shared" si="34"/>
        <v>676.28999999999985</v>
      </c>
      <c r="E193" s="121">
        <f t="shared" ref="E193:E194" si="42">F193+G193</f>
        <v>584.78999999999985</v>
      </c>
      <c r="F193" s="121">
        <f t="shared" si="31"/>
        <v>508.53999999999985</v>
      </c>
      <c r="G193" s="177">
        <f t="shared" si="31"/>
        <v>76.25</v>
      </c>
      <c r="H193" s="157">
        <f t="shared" si="36"/>
        <v>0.14993904117670198</v>
      </c>
      <c r="I193" s="121">
        <f t="shared" si="37"/>
        <v>76</v>
      </c>
      <c r="J193" s="696">
        <f t="shared" si="41"/>
        <v>71</v>
      </c>
      <c r="K193" s="692">
        <v>4</v>
      </c>
      <c r="L193" s="507">
        <f t="shared" si="38"/>
        <v>15.5</v>
      </c>
      <c r="M193" s="497">
        <f t="shared" si="39"/>
        <v>76</v>
      </c>
      <c r="O193" s="243">
        <v>76</v>
      </c>
      <c r="P193" s="243">
        <v>15.5</v>
      </c>
      <c r="Q193" s="424">
        <v>675</v>
      </c>
      <c r="R193" s="436">
        <f t="shared" si="40"/>
        <v>1.2899999999998499</v>
      </c>
      <c r="S193" s="437">
        <f t="shared" si="32"/>
        <v>-2.5499999999999972</v>
      </c>
      <c r="U193">
        <v>15.5</v>
      </c>
      <c r="X193" s="106">
        <v>40</v>
      </c>
      <c r="Y193">
        <v>12.9</v>
      </c>
    </row>
    <row r="194" spans="1:25" ht="15" customHeight="1" thickBot="1" x14ac:dyDescent="0.25">
      <c r="B194" s="106">
        <v>50</v>
      </c>
      <c r="C194" s="120">
        <f>(D194-J194)</f>
        <v>714.28999999999974</v>
      </c>
      <c r="D194" s="701">
        <f>(F194+G194+M194+L194)+$E$179</f>
        <v>785.28999999999974</v>
      </c>
      <c r="E194" s="120">
        <f t="shared" si="42"/>
        <v>692.48999999999978</v>
      </c>
      <c r="F194" s="120">
        <f t="shared" si="31"/>
        <v>602.18999999999983</v>
      </c>
      <c r="G194" s="176">
        <f t="shared" si="31"/>
        <v>90.3</v>
      </c>
      <c r="H194" s="156">
        <f t="shared" si="36"/>
        <v>0.14995267274448268</v>
      </c>
      <c r="I194" s="120">
        <f t="shared" si="37"/>
        <v>77</v>
      </c>
      <c r="J194" s="697">
        <f t="shared" si="41"/>
        <v>71</v>
      </c>
      <c r="K194" s="693">
        <v>4</v>
      </c>
      <c r="L194" s="507">
        <f t="shared" si="38"/>
        <v>15.8</v>
      </c>
      <c r="M194" s="497">
        <f t="shared" si="39"/>
        <v>77</v>
      </c>
      <c r="O194" s="554">
        <v>77</v>
      </c>
      <c r="P194" s="242">
        <v>15.8</v>
      </c>
      <c r="Q194" s="423">
        <v>786</v>
      </c>
      <c r="R194" s="438">
        <f t="shared" si="40"/>
        <v>-0.71000000000026375</v>
      </c>
      <c r="S194" s="439">
        <f t="shared" si="32"/>
        <v>-3.5</v>
      </c>
      <c r="U194">
        <v>15.8</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0.90287359144940016</v>
      </c>
      <c r="G205" s="122">
        <v>0.99760403646189244</v>
      </c>
      <c r="H205" s="34">
        <f>(D206*2.20462*25.4*12)</f>
        <v>3057.4552007999996</v>
      </c>
      <c r="I205" s="5">
        <f>F205*D$205*SQRT(4*D$207*H$205/32.2)/12</f>
        <v>33.999714285714276</v>
      </c>
      <c r="J205" s="1"/>
      <c r="K205" s="22"/>
      <c r="L205" s="96">
        <v>1</v>
      </c>
      <c r="M205" s="92">
        <f>L205*I205</f>
        <v>33.999714285714276</v>
      </c>
      <c r="N205" s="13"/>
      <c r="O205" s="84">
        <v>1</v>
      </c>
      <c r="P205" s="92">
        <f>C185</f>
        <v>33.999714285714276</v>
      </c>
      <c r="Q205" s="254">
        <f>P205/M205</f>
        <v>1</v>
      </c>
      <c r="R205" s="254">
        <f>G205*Q205</f>
        <v>0.99760403646189244</v>
      </c>
      <c r="S205" s="267" t="s">
        <v>138</v>
      </c>
    </row>
    <row r="206" spans="1:25" ht="15" customHeight="1" x14ac:dyDescent="0.2">
      <c r="B206" s="259" t="s">
        <v>7</v>
      </c>
      <c r="C206" s="12" t="s">
        <v>10</v>
      </c>
      <c r="D206" s="444">
        <v>4.55</v>
      </c>
      <c r="E206" s="255">
        <v>2</v>
      </c>
      <c r="F206" s="250">
        <v>0.83008164163162401</v>
      </c>
      <c r="G206" s="123">
        <v>0.90971917584830464</v>
      </c>
      <c r="H206" s="35"/>
      <c r="I206" s="5">
        <f>F206*D$205*SQRT(4*D$207*H$205/32.2)/12</f>
        <v>31.258571428571415</v>
      </c>
      <c r="J206" s="1"/>
      <c r="K206" s="22"/>
      <c r="L206" s="97">
        <v>2</v>
      </c>
      <c r="M206" s="93">
        <f>L206*I206</f>
        <v>62.517142857142829</v>
      </c>
      <c r="N206" s="13"/>
      <c r="O206" s="84">
        <v>2</v>
      </c>
      <c r="P206" s="93">
        <f t="shared" ref="P206:P214" si="43">C186</f>
        <v>62.517142857142829</v>
      </c>
      <c r="Q206" s="254">
        <f t="shared" ref="Q206:Q214" si="44">P206/M206</f>
        <v>1</v>
      </c>
      <c r="R206" s="254">
        <f t="shared" ref="R206:R214" si="45">G206*Q206</f>
        <v>0.90971917584830464</v>
      </c>
      <c r="S206" s="267" t="s">
        <v>139</v>
      </c>
    </row>
    <row r="207" spans="1:25" ht="15" customHeight="1" x14ac:dyDescent="0.2">
      <c r="B207" s="261" t="s">
        <v>8</v>
      </c>
      <c r="C207" s="262" t="s">
        <v>15</v>
      </c>
      <c r="D207" s="263">
        <v>85</v>
      </c>
      <c r="E207" s="255">
        <v>3</v>
      </c>
      <c r="F207" s="249">
        <v>0.76500844071398877</v>
      </c>
      <c r="G207" s="122">
        <v>0.8244544410081599</v>
      </c>
      <c r="H207" s="35"/>
      <c r="I207" s="5">
        <f t="shared" ref="I207:I214" si="46">F207*D$205*SQRT(4*D$207*H$205/32.2)/12</f>
        <v>28.80809523809523</v>
      </c>
      <c r="J207" s="1"/>
      <c r="K207" s="22"/>
      <c r="L207" s="98">
        <v>3</v>
      </c>
      <c r="M207" s="94">
        <f t="shared" ref="M207:M213" si="47">L207*I207</f>
        <v>86.424285714285688</v>
      </c>
      <c r="N207" s="13"/>
      <c r="O207" s="84">
        <v>3</v>
      </c>
      <c r="P207" s="94">
        <f t="shared" si="43"/>
        <v>86.424285714285702</v>
      </c>
      <c r="Q207" s="254">
        <f t="shared" si="44"/>
        <v>1.0000000000000002</v>
      </c>
      <c r="R207" s="254">
        <f t="shared" si="45"/>
        <v>0.82445444100816012</v>
      </c>
    </row>
    <row r="208" spans="1:25" ht="15" customHeight="1" x14ac:dyDescent="0.2">
      <c r="E208" s="30">
        <v>4</v>
      </c>
      <c r="F208" s="249">
        <v>0.71511603608504803</v>
      </c>
      <c r="G208" s="122">
        <v>0.75705922949617932</v>
      </c>
      <c r="H208" s="35"/>
      <c r="I208" s="5">
        <f t="shared" si="46"/>
        <v>26.929285714285715</v>
      </c>
      <c r="J208" s="1"/>
      <c r="K208" s="22"/>
      <c r="L208" s="98">
        <v>4</v>
      </c>
      <c r="M208" s="94">
        <f t="shared" si="47"/>
        <v>107.71714285714286</v>
      </c>
      <c r="N208" s="13"/>
      <c r="O208" s="84">
        <v>4</v>
      </c>
      <c r="P208" s="94">
        <f t="shared" si="43"/>
        <v>107.71714285714287</v>
      </c>
      <c r="Q208" s="254">
        <f t="shared" si="44"/>
        <v>1.0000000000000002</v>
      </c>
      <c r="R208" s="254">
        <f t="shared" si="45"/>
        <v>0.75705922949617954</v>
      </c>
    </row>
    <row r="209" spans="1:19" ht="15" customHeight="1" x14ac:dyDescent="0.2">
      <c r="B209" s="268" t="s">
        <v>132</v>
      </c>
      <c r="E209" s="30">
        <v>5</v>
      </c>
      <c r="F209" s="250">
        <v>0.67825344611322536</v>
      </c>
      <c r="G209" s="123">
        <v>0.70687629692493703</v>
      </c>
      <c r="H209" s="35"/>
      <c r="I209" s="5">
        <f t="shared" si="46"/>
        <v>25.541142857142859</v>
      </c>
      <c r="J209" s="1"/>
      <c r="K209" s="22"/>
      <c r="L209" s="97">
        <v>5</v>
      </c>
      <c r="M209" s="93">
        <f t="shared" si="47"/>
        <v>127.70571428571429</v>
      </c>
      <c r="N209" s="13"/>
      <c r="O209" s="84">
        <v>5</v>
      </c>
      <c r="P209" s="93">
        <f t="shared" si="43"/>
        <v>127.70571428571429</v>
      </c>
      <c r="Q209" s="254">
        <f t="shared" si="44"/>
        <v>1</v>
      </c>
      <c r="R209" s="254">
        <f t="shared" si="45"/>
        <v>0.70687629692493703</v>
      </c>
    </row>
    <row r="210" spans="1:19" ht="15" customHeight="1" x14ac:dyDescent="0.2">
      <c r="B210" s="42" t="s">
        <v>131</v>
      </c>
      <c r="E210" s="30">
        <v>10</v>
      </c>
      <c r="F210" s="249">
        <v>0.57409965300049648</v>
      </c>
      <c r="G210" s="122">
        <v>0.58088643631423431</v>
      </c>
      <c r="H210" s="35"/>
      <c r="I210" s="5">
        <f t="shared" si="46"/>
        <v>21.619000000000003</v>
      </c>
      <c r="J210" s="1"/>
      <c r="K210" s="22"/>
      <c r="L210" s="98">
        <v>10</v>
      </c>
      <c r="M210" s="94">
        <f t="shared" si="47"/>
        <v>216.19000000000003</v>
      </c>
      <c r="N210" s="13"/>
      <c r="O210" s="84">
        <v>10</v>
      </c>
      <c r="P210" s="94">
        <f t="shared" si="43"/>
        <v>216.19000000000005</v>
      </c>
      <c r="Q210" s="254">
        <f t="shared" si="44"/>
        <v>1.0000000000000002</v>
      </c>
      <c r="R210" s="254">
        <f t="shared" si="45"/>
        <v>0.58088643631423442</v>
      </c>
    </row>
    <row r="211" spans="1:19" ht="15" customHeight="1" x14ac:dyDescent="0.2">
      <c r="E211" s="30">
        <v>20</v>
      </c>
      <c r="F211" s="249">
        <v>0.48774172379204034</v>
      </c>
      <c r="G211" s="122">
        <v>0.49014118742867469</v>
      </c>
      <c r="H211" s="35"/>
      <c r="I211" s="5">
        <f t="shared" si="46"/>
        <v>18.367000000000008</v>
      </c>
      <c r="J211" s="1"/>
      <c r="K211" s="22"/>
      <c r="L211" s="98">
        <v>20</v>
      </c>
      <c r="M211" s="94">
        <f t="shared" si="47"/>
        <v>367.34000000000015</v>
      </c>
      <c r="N211" s="13"/>
      <c r="O211" s="84">
        <v>20</v>
      </c>
      <c r="P211" s="94">
        <f t="shared" si="43"/>
        <v>367.34000000000015</v>
      </c>
      <c r="Q211" s="254">
        <f t="shared" si="44"/>
        <v>1</v>
      </c>
      <c r="R211" s="254">
        <f t="shared" si="45"/>
        <v>0.49014118742867469</v>
      </c>
    </row>
    <row r="212" spans="1:19" ht="15" customHeight="1" x14ac:dyDescent="0.2">
      <c r="E212" s="30">
        <v>30</v>
      </c>
      <c r="F212" s="249">
        <v>0.43513561746917678</v>
      </c>
      <c r="G212" s="122">
        <v>0.43566166588701072</v>
      </c>
      <c r="H212" s="35"/>
      <c r="I212" s="5">
        <f t="shared" si="46"/>
        <v>16.386000000000003</v>
      </c>
      <c r="J212" s="1"/>
      <c r="K212" s="22"/>
      <c r="L212" s="98">
        <v>30</v>
      </c>
      <c r="M212" s="94">
        <f>L212*I212</f>
        <v>491.5800000000001</v>
      </c>
      <c r="N212" s="13"/>
      <c r="O212" s="84">
        <v>30</v>
      </c>
      <c r="P212" s="94">
        <f t="shared" si="43"/>
        <v>491.58000000000004</v>
      </c>
      <c r="Q212" s="254">
        <f t="shared" si="44"/>
        <v>0.99999999999999989</v>
      </c>
      <c r="R212" s="254">
        <f t="shared" si="45"/>
        <v>0.43566166588701066</v>
      </c>
    </row>
    <row r="213" spans="1:19" ht="15" customHeight="1" x14ac:dyDescent="0.2">
      <c r="E213" s="30">
        <v>40</v>
      </c>
      <c r="F213" s="249">
        <v>0.40184187400512317</v>
      </c>
      <c r="G213" s="122">
        <v>0.40169392288760747</v>
      </c>
      <c r="H213" s="35"/>
      <c r="I213" s="5">
        <f t="shared" si="46"/>
        <v>15.132249999999994</v>
      </c>
      <c r="J213" s="1"/>
      <c r="K213" s="22"/>
      <c r="L213" s="98">
        <v>40</v>
      </c>
      <c r="M213" s="94">
        <f t="shared" si="47"/>
        <v>605.28999999999974</v>
      </c>
      <c r="N213" s="13"/>
      <c r="O213" s="84">
        <v>40</v>
      </c>
      <c r="P213" s="126">
        <f t="shared" si="43"/>
        <v>605.28999999999985</v>
      </c>
      <c r="Q213" s="254">
        <f t="shared" si="44"/>
        <v>1.0000000000000002</v>
      </c>
      <c r="R213" s="254">
        <f t="shared" si="45"/>
        <v>0.40169392288760758</v>
      </c>
    </row>
    <row r="214" spans="1:19" ht="15" customHeight="1" x14ac:dyDescent="0.2">
      <c r="E214" s="30">
        <v>50</v>
      </c>
      <c r="F214" s="250">
        <v>0.37936411595515462</v>
      </c>
      <c r="G214" s="123">
        <v>0.37931404019230319</v>
      </c>
      <c r="H214" s="36"/>
      <c r="I214" s="23">
        <f t="shared" si="46"/>
        <v>14.285799999999997</v>
      </c>
      <c r="J214" s="24"/>
      <c r="K214" s="17"/>
      <c r="L214" s="99">
        <v>50</v>
      </c>
      <c r="M214" s="100">
        <f>L214*I214</f>
        <v>714.28999999999985</v>
      </c>
      <c r="N214" s="16"/>
      <c r="O214" s="107">
        <v>50</v>
      </c>
      <c r="P214" s="127">
        <f t="shared" si="43"/>
        <v>714.28999999999974</v>
      </c>
      <c r="Q214" s="254">
        <f t="shared" si="44"/>
        <v>0.99999999999999989</v>
      </c>
      <c r="R214" s="254">
        <f t="shared" si="45"/>
        <v>0.37931404019230314</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23.505714285714284</v>
      </c>
      <c r="G227" s="46">
        <f>F227/E227</f>
        <v>23.505714285714284</v>
      </c>
      <c r="H227" s="178">
        <f t="shared" ref="H227:H236" si="49">SQRT(12*32.2*G227^2/(4*$B$228*($B$227*56)*$B$226^2))</f>
        <v>0.62418719079483276</v>
      </c>
      <c r="I227" s="718"/>
      <c r="J227" s="178">
        <v>0.62418719079483276</v>
      </c>
      <c r="K227" s="544">
        <v>1</v>
      </c>
      <c r="L227" s="549">
        <f>J227*$L$225</f>
        <v>0.62418719079483276</v>
      </c>
      <c r="M227" s="5">
        <f>(B227*2.20462*25.4*12)</f>
        <v>3057.4552007999996</v>
      </c>
      <c r="N227" s="74">
        <f t="shared" ref="N227:N236" si="50">L227*B$226*SQRT(4*B$228*M$227/32.2)/12</f>
        <v>23.505157697389905</v>
      </c>
      <c r="O227" s="597">
        <f>K227*N227</f>
        <v>23.505157697389905</v>
      </c>
      <c r="P227" s="591">
        <f t="shared" ref="P227:P236" si="51">M157</f>
        <v>1.0210161662817552</v>
      </c>
      <c r="Q227" s="60">
        <f>P227*O227</f>
        <v>23.999146000037129</v>
      </c>
      <c r="R227" s="166">
        <f>Q227-O227</f>
        <v>0.49398830264722449</v>
      </c>
      <c r="S227" s="169">
        <f>R227/O227</f>
        <v>2.1016166281755202E-2</v>
      </c>
    </row>
    <row r="228" spans="2:19" ht="15" customHeight="1" x14ac:dyDescent="0.2">
      <c r="B228" s="271">
        <f t="shared" si="48"/>
        <v>85</v>
      </c>
      <c r="C228" s="77" t="s">
        <v>1</v>
      </c>
      <c r="D228" s="17"/>
      <c r="E228" s="70">
        <v>2</v>
      </c>
      <c r="F228" s="54">
        <f t="shared" ref="F228:F236" si="52">F186</f>
        <v>48.077142857142832</v>
      </c>
      <c r="G228" s="45">
        <f t="shared" ref="G228:G236" si="53">F228/E228</f>
        <v>24.038571428571416</v>
      </c>
      <c r="H228" s="179">
        <f t="shared" si="49"/>
        <v>0.63833705235837157</v>
      </c>
      <c r="I228" s="718"/>
      <c r="J228" s="179">
        <v>0.63833705235837157</v>
      </c>
      <c r="K228" s="545">
        <v>2</v>
      </c>
      <c r="L228" s="550">
        <f t="shared" ref="L228:L236" si="54">J228*$L$225</f>
        <v>0.63833705235837157</v>
      </c>
      <c r="N228" s="73">
        <f t="shared" si="50"/>
        <v>24.038002222801737</v>
      </c>
      <c r="O228" s="598">
        <f t="shared" ref="O228:O235" si="55">K228*N228</f>
        <v>48.076004445603473</v>
      </c>
      <c r="P228" s="591">
        <f t="shared" si="51"/>
        <v>1.0299518630771973</v>
      </c>
      <c r="Q228" s="59">
        <f t="shared" ref="Q228:Q236" si="56">P228*O228</f>
        <v>49.515970348056918</v>
      </c>
      <c r="R228" s="167">
        <f t="shared" ref="R228:R236" si="57">Q228-O228</f>
        <v>1.4399659024534444</v>
      </c>
      <c r="S228" s="170">
        <f t="shared" ref="S228:S236" si="58">R228/O228</f>
        <v>2.995186307719731E-2</v>
      </c>
    </row>
    <row r="229" spans="2:19" ht="15" customHeight="1" x14ac:dyDescent="0.2">
      <c r="E229" s="69">
        <v>3</v>
      </c>
      <c r="F229" s="50">
        <f t="shared" si="52"/>
        <v>68.934285714285707</v>
      </c>
      <c r="G229" s="44">
        <f t="shared" si="53"/>
        <v>22.978095238095236</v>
      </c>
      <c r="H229" s="180">
        <f t="shared" si="49"/>
        <v>0.6101764252788352</v>
      </c>
      <c r="I229" s="718"/>
      <c r="J229" s="180">
        <v>0.6101764252788352</v>
      </c>
      <c r="K229" s="546">
        <v>3</v>
      </c>
      <c r="L229" s="551">
        <f t="shared" si="54"/>
        <v>0.6101764252788352</v>
      </c>
      <c r="N229" s="72">
        <f t="shared" si="50"/>
        <v>22.977551143184076</v>
      </c>
      <c r="O229" s="599">
        <f>K229*N229</f>
        <v>68.932653429552232</v>
      </c>
      <c r="P229" s="591">
        <f t="shared" si="51"/>
        <v>1.0390226716956108</v>
      </c>
      <c r="Q229" s="58">
        <f t="shared" si="56"/>
        <v>71.622589733440975</v>
      </c>
      <c r="R229" s="168">
        <f>Q229-O229</f>
        <v>2.6899363038887429</v>
      </c>
      <c r="S229" s="171">
        <f t="shared" si="58"/>
        <v>3.902267169561089E-2</v>
      </c>
    </row>
    <row r="230" spans="2:19" ht="15" customHeight="1" x14ac:dyDescent="0.2">
      <c r="E230" s="69">
        <v>4</v>
      </c>
      <c r="F230" s="50">
        <f t="shared" si="52"/>
        <v>87.47714285714288</v>
      </c>
      <c r="G230" s="44">
        <f t="shared" si="53"/>
        <v>21.86928571428572</v>
      </c>
      <c r="H230" s="180">
        <f t="shared" si="49"/>
        <v>0.5807323210333476</v>
      </c>
      <c r="I230" s="718"/>
      <c r="J230" s="180">
        <v>0.5807323210333476</v>
      </c>
      <c r="K230" s="546">
        <v>4</v>
      </c>
      <c r="L230" s="551">
        <f t="shared" si="54"/>
        <v>0.5807323210333476</v>
      </c>
      <c r="N230" s="72">
        <f t="shared" si="50"/>
        <v>21.868767874710922</v>
      </c>
      <c r="O230" s="599">
        <f t="shared" si="55"/>
        <v>87.47507149884369</v>
      </c>
      <c r="P230" s="591">
        <f t="shared" si="51"/>
        <v>1.0484698043570564</v>
      </c>
      <c r="Q230" s="58">
        <f t="shared" si="56"/>
        <v>91.714971100512159</v>
      </c>
      <c r="R230" s="168">
        <f>Q230-O230</f>
        <v>4.2398996016684691</v>
      </c>
      <c r="S230" s="171">
        <f t="shared" si="58"/>
        <v>4.8469804357056341E-2</v>
      </c>
    </row>
    <row r="231" spans="2:19" ht="15" customHeight="1" x14ac:dyDescent="0.2">
      <c r="E231" s="70">
        <v>5</v>
      </c>
      <c r="F231" s="54">
        <f t="shared" si="52"/>
        <v>105.1057142857143</v>
      </c>
      <c r="G231" s="45">
        <f t="shared" si="53"/>
        <v>21.021142857142859</v>
      </c>
      <c r="H231" s="179">
        <f t="shared" si="49"/>
        <v>0.55821014191733365</v>
      </c>
      <c r="I231" s="718"/>
      <c r="J231" s="179">
        <v>0.55821014191733365</v>
      </c>
      <c r="K231" s="545">
        <v>5</v>
      </c>
      <c r="L231" s="550">
        <f t="shared" si="54"/>
        <v>0.55821014191733365</v>
      </c>
      <c r="N231" s="73">
        <f t="shared" si="50"/>
        <v>21.020645100617056</v>
      </c>
      <c r="O231" s="598">
        <f t="shared" si="55"/>
        <v>105.10322550308528</v>
      </c>
      <c r="P231" s="591">
        <f t="shared" si="51"/>
        <v>1.0580368064805501</v>
      </c>
      <c r="Q231" s="59">
        <f t="shared" si="56"/>
        <v>111.20308106208947</v>
      </c>
      <c r="R231" s="167">
        <f t="shared" si="57"/>
        <v>6.0998555590041832</v>
      </c>
      <c r="S231" s="170">
        <f t="shared" si="58"/>
        <v>5.8036806480550145E-2</v>
      </c>
    </row>
    <row r="232" spans="2:19" ht="15" customHeight="1" x14ac:dyDescent="0.2">
      <c r="E232" s="69">
        <v>10</v>
      </c>
      <c r="F232" s="50">
        <f t="shared" si="52"/>
        <v>179.89000000000004</v>
      </c>
      <c r="G232" s="44">
        <f t="shared" si="53"/>
        <v>17.989000000000004</v>
      </c>
      <c r="H232" s="180">
        <f t="shared" si="49"/>
        <v>0.47769249803365593</v>
      </c>
      <c r="I232" s="718"/>
      <c r="J232" s="180">
        <v>0.47769249803365593</v>
      </c>
      <c r="K232" s="547">
        <v>10</v>
      </c>
      <c r="L232" s="551">
        <f t="shared" si="54"/>
        <v>0.47769249803365593</v>
      </c>
      <c r="M232" s="41"/>
      <c r="N232" s="76">
        <f t="shared" si="50"/>
        <v>17.988574041135468</v>
      </c>
      <c r="O232" s="600">
        <f t="shared" si="55"/>
        <v>179.88574041135467</v>
      </c>
      <c r="P232" s="591">
        <f t="shared" si="51"/>
        <v>1.1039524153649451</v>
      </c>
      <c r="Q232" s="58">
        <f t="shared" si="56"/>
        <v>198.58529761682652</v>
      </c>
      <c r="R232" s="168">
        <f t="shared" si="57"/>
        <v>18.699557205471848</v>
      </c>
      <c r="S232" s="171">
        <f t="shared" si="58"/>
        <v>0.10395241536494519</v>
      </c>
    </row>
    <row r="233" spans="2:19" ht="15" customHeight="1" x14ac:dyDescent="0.2">
      <c r="E233" s="69">
        <v>20</v>
      </c>
      <c r="F233" s="50">
        <f t="shared" si="52"/>
        <v>303.24000000000012</v>
      </c>
      <c r="G233" s="44">
        <f t="shared" si="53"/>
        <v>15.162000000000006</v>
      </c>
      <c r="H233" s="180">
        <f t="shared" si="49"/>
        <v>0.40262236117551242</v>
      </c>
      <c r="I233" s="718"/>
      <c r="J233" s="180">
        <v>0.40262236117551242</v>
      </c>
      <c r="K233" s="546">
        <v>20</v>
      </c>
      <c r="L233" s="551">
        <f t="shared" si="54"/>
        <v>0.40262236117551242</v>
      </c>
      <c r="N233" s="72">
        <f t="shared" si="50"/>
        <v>15.161640981249432</v>
      </c>
      <c r="O233" s="599">
        <f t="shared" si="55"/>
        <v>303.23281962498862</v>
      </c>
      <c r="P233" s="591">
        <f t="shared" si="51"/>
        <v>1.1500461680517082</v>
      </c>
      <c r="Q233" s="58">
        <f t="shared" si="56"/>
        <v>348.73174223723299</v>
      </c>
      <c r="R233" s="168">
        <f t="shared" si="57"/>
        <v>45.498922612244371</v>
      </c>
      <c r="S233" s="171">
        <f t="shared" si="58"/>
        <v>0.15004616805170823</v>
      </c>
    </row>
    <row r="234" spans="2:19" ht="15" customHeight="1" x14ac:dyDescent="0.2">
      <c r="E234" s="69">
        <v>30</v>
      </c>
      <c r="F234" s="50">
        <f t="shared" si="52"/>
        <v>410.84000000000003</v>
      </c>
      <c r="G234" s="44">
        <f t="shared" si="53"/>
        <v>13.694666666666668</v>
      </c>
      <c r="H234" s="180">
        <f t="shared" si="49"/>
        <v>0.36365776473057093</v>
      </c>
      <c r="I234" s="718"/>
      <c r="J234" s="180">
        <v>0.36365776473057093</v>
      </c>
      <c r="K234" s="546">
        <v>30</v>
      </c>
      <c r="L234" s="551">
        <f t="shared" si="54"/>
        <v>0.36365776473057093</v>
      </c>
      <c r="N234" s="72">
        <f t="shared" si="50"/>
        <v>13.694342392684597</v>
      </c>
      <c r="O234" s="599">
        <f t="shared" si="55"/>
        <v>410.83027178053788</v>
      </c>
      <c r="P234" s="591">
        <f t="shared" si="51"/>
        <v>1.1500340765261414</v>
      </c>
      <c r="Q234" s="58">
        <f t="shared" si="56"/>
        <v>472.4688122161146</v>
      </c>
      <c r="R234" s="168">
        <f t="shared" si="57"/>
        <v>61.638540435576715</v>
      </c>
      <c r="S234" s="171">
        <f t="shared" si="58"/>
        <v>0.15003407652614145</v>
      </c>
    </row>
    <row r="235" spans="2:19" ht="15" customHeight="1" x14ac:dyDescent="0.2">
      <c r="E235" s="69">
        <v>40</v>
      </c>
      <c r="F235" s="50">
        <f t="shared" si="52"/>
        <v>508.53999999999985</v>
      </c>
      <c r="G235" s="44">
        <f t="shared" si="53"/>
        <v>12.713499999999996</v>
      </c>
      <c r="H235" s="180">
        <f t="shared" si="49"/>
        <v>0.33760317826176456</v>
      </c>
      <c r="I235" s="718"/>
      <c r="J235" s="180">
        <v>0.33760317826176456</v>
      </c>
      <c r="K235" s="546">
        <v>40</v>
      </c>
      <c r="L235" s="551">
        <f t="shared" si="54"/>
        <v>0.33760317826176456</v>
      </c>
      <c r="N235" s="72">
        <f t="shared" si="50"/>
        <v>12.713198958917987</v>
      </c>
      <c r="O235" s="599">
        <f t="shared" si="55"/>
        <v>508.52795835671947</v>
      </c>
      <c r="P235" s="591">
        <f t="shared" si="51"/>
        <v>1.1499390411767019</v>
      </c>
      <c r="Q235" s="58">
        <f t="shared" si="56"/>
        <v>584.77615284427179</v>
      </c>
      <c r="R235" s="168">
        <f t="shared" si="57"/>
        <v>76.248194487552325</v>
      </c>
      <c r="S235" s="171">
        <f t="shared" si="58"/>
        <v>0.14993904117670193</v>
      </c>
    </row>
    <row r="236" spans="2:19" ht="15" customHeight="1" thickBot="1" x14ac:dyDescent="0.25">
      <c r="E236" s="70">
        <v>50</v>
      </c>
      <c r="F236" s="54">
        <f t="shared" si="52"/>
        <v>602.18999999999983</v>
      </c>
      <c r="G236" s="45">
        <f t="shared" si="53"/>
        <v>12.043799999999997</v>
      </c>
      <c r="H236" s="179">
        <f t="shared" si="49"/>
        <v>0.31981949568168005</v>
      </c>
      <c r="I236" s="718"/>
      <c r="J236" s="179">
        <v>0.31981949568168005</v>
      </c>
      <c r="K236" s="555">
        <v>50</v>
      </c>
      <c r="L236" s="556">
        <f t="shared" si="54"/>
        <v>0.31981949568168005</v>
      </c>
      <c r="N236" s="557">
        <f t="shared" si="50"/>
        <v>12.04351481664502</v>
      </c>
      <c r="O236" s="601">
        <f>K236*N236</f>
        <v>602.17574083225099</v>
      </c>
      <c r="P236" s="592">
        <f t="shared" si="51"/>
        <v>1.1499526727444827</v>
      </c>
      <c r="Q236" s="59">
        <f t="shared" si="56"/>
        <v>692.47360263193593</v>
      </c>
      <c r="R236" s="167">
        <f t="shared" si="57"/>
        <v>90.297861799684938</v>
      </c>
      <c r="S236" s="170">
        <f t="shared" si="58"/>
        <v>0.14995267274448265</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0.49399999999999999</v>
      </c>
      <c r="S241" s="327">
        <f>R241/R227</f>
        <v>1.0000236794124735</v>
      </c>
    </row>
    <row r="242" spans="1:19" ht="15" customHeight="1" x14ac:dyDescent="0.2">
      <c r="E242" s="323"/>
      <c r="F242" s="324"/>
      <c r="G242" s="323"/>
      <c r="H242" s="325"/>
      <c r="I242" s="41"/>
      <c r="J242" s="325"/>
      <c r="K242" s="323"/>
      <c r="L242" s="325"/>
      <c r="M242" s="41"/>
      <c r="N242" s="324"/>
      <c r="O242" s="324"/>
      <c r="P242" s="326"/>
      <c r="Q242" s="324"/>
      <c r="R242" s="167">
        <f t="shared" si="59"/>
        <v>1.44</v>
      </c>
      <c r="S242" s="327">
        <f t="shared" ref="S242:S250" si="60">R242/R228</f>
        <v>1.0000236794124759</v>
      </c>
    </row>
    <row r="243" spans="1:19" ht="15" customHeight="1" x14ac:dyDescent="0.2">
      <c r="R243" s="168">
        <f t="shared" si="59"/>
        <v>2.69</v>
      </c>
      <c r="S243" s="327">
        <f t="shared" si="60"/>
        <v>1.0000236794124697</v>
      </c>
    </row>
    <row r="244" spans="1:19" ht="15" customHeight="1" x14ac:dyDescent="0.2">
      <c r="R244" s="168">
        <f t="shared" si="59"/>
        <v>4.24</v>
      </c>
      <c r="S244" s="327">
        <f t="shared" si="60"/>
        <v>1.0000236794124775</v>
      </c>
    </row>
    <row r="245" spans="1:19" ht="15" customHeight="1" x14ac:dyDescent="0.2">
      <c r="R245" s="167">
        <f t="shared" si="59"/>
        <v>6.1</v>
      </c>
      <c r="S245" s="327">
        <f t="shared" si="60"/>
        <v>1.0000236794124744</v>
      </c>
    </row>
    <row r="246" spans="1:19" ht="15" customHeight="1" x14ac:dyDescent="0.2">
      <c r="R246" s="168">
        <f t="shared" si="59"/>
        <v>18.7</v>
      </c>
      <c r="S246" s="327">
        <f t="shared" si="60"/>
        <v>1.0000236794124742</v>
      </c>
    </row>
    <row r="247" spans="1:19" ht="15" customHeight="1" x14ac:dyDescent="0.2">
      <c r="F247" s="41"/>
      <c r="G247" s="41"/>
      <c r="H247" s="41"/>
      <c r="I247" s="41"/>
      <c r="J247" s="41"/>
      <c r="K247" s="41"/>
      <c r="L247" s="41"/>
      <c r="M247" s="41"/>
      <c r="N247" s="41"/>
      <c r="O247" s="41"/>
      <c r="P247" s="41"/>
      <c r="R247" s="168">
        <f t="shared" si="59"/>
        <v>45.5</v>
      </c>
      <c r="S247" s="327">
        <f t="shared" si="60"/>
        <v>1.0000236794124733</v>
      </c>
    </row>
    <row r="248" spans="1:19" ht="15" customHeight="1" x14ac:dyDescent="0.2">
      <c r="B248" s="90"/>
      <c r="R248" s="168">
        <f t="shared" si="59"/>
        <v>61.64</v>
      </c>
      <c r="S248" s="327">
        <f t="shared" si="60"/>
        <v>1.0000236794124742</v>
      </c>
    </row>
    <row r="249" spans="1:19" ht="15" customHeight="1" x14ac:dyDescent="0.2">
      <c r="A249" s="90" t="s">
        <v>95</v>
      </c>
      <c r="B249" s="64" t="s">
        <v>178</v>
      </c>
      <c r="R249" s="168">
        <f t="shared" si="59"/>
        <v>76.25</v>
      </c>
      <c r="S249" s="327">
        <f t="shared" si="60"/>
        <v>1.0000236794124742</v>
      </c>
    </row>
    <row r="250" spans="1:19" ht="15" customHeight="1" x14ac:dyDescent="0.2">
      <c r="R250" s="167">
        <f t="shared" si="59"/>
        <v>90.3</v>
      </c>
      <c r="S250" s="327">
        <f t="shared" si="60"/>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0.49399999999999999</v>
      </c>
      <c r="G257" s="49">
        <f>F257/E257</f>
        <v>0.49399999999999999</v>
      </c>
      <c r="H257" s="178">
        <f>SQRT(12*32.2*G257^2/(4*$B$258*($B$257*56)*$B$256^2))</f>
        <v>1.3118021792685864E-2</v>
      </c>
      <c r="I257" s="718"/>
      <c r="J257" s="178">
        <v>1.3118021792685864E-2</v>
      </c>
      <c r="K257" s="544">
        <v>1</v>
      </c>
      <c r="L257" s="549">
        <f>J257*$L$255</f>
        <v>1.3118021792685864E-2</v>
      </c>
      <c r="M257" s="5">
        <f>(B257*2.20462*25.4*12)</f>
        <v>3057.4552007999996</v>
      </c>
      <c r="N257" s="74">
        <f>L257*B$256*SQRT(4*B$258*M$257/32.2)/12</f>
        <v>0.49398830264722443</v>
      </c>
      <c r="O257" s="218">
        <f>K257*N257</f>
        <v>0.49398830264722443</v>
      </c>
      <c r="Q257" s="218">
        <f t="shared" ref="Q257:Q266" si="61">E157</f>
        <v>0.49399999999999999</v>
      </c>
      <c r="R257" s="327">
        <f>Q257/O257</f>
        <v>1.0000236794124737</v>
      </c>
    </row>
    <row r="258" spans="2:18" ht="15" customHeight="1" x14ac:dyDescent="0.2">
      <c r="B258" s="271">
        <f>D207</f>
        <v>85</v>
      </c>
      <c r="C258" s="77" t="s">
        <v>1</v>
      </c>
      <c r="D258" s="17"/>
      <c r="E258" s="70">
        <v>2</v>
      </c>
      <c r="F258" s="167">
        <f t="shared" ref="F258:F266" si="62">G186</f>
        <v>1.44</v>
      </c>
      <c r="G258" s="48">
        <f t="shared" ref="G258:G266" si="63">F258/E258</f>
        <v>0.72</v>
      </c>
      <c r="H258" s="179">
        <f t="shared" ref="H258:H266" si="64">SQRT(12*32.2*G258^2/(4*$B$258*($B$257*56)*$B$256^2))</f>
        <v>1.9119383989339721E-2</v>
      </c>
      <c r="I258" s="718"/>
      <c r="J258" s="179">
        <v>1.9119383989339721E-2</v>
      </c>
      <c r="K258" s="545">
        <v>2</v>
      </c>
      <c r="L258" s="550">
        <f t="shared" ref="L258:L266" si="65">J258*$L$255</f>
        <v>1.9119383989339721E-2</v>
      </c>
      <c r="N258" s="73">
        <f t="shared" ref="N258:N266" si="66">L258*B$256*SQRT(4*B$258*M$257/32.2)/12</f>
        <v>0.71998295122672384</v>
      </c>
      <c r="O258" s="219">
        <f t="shared" ref="O258" si="67">K258*N258</f>
        <v>1.4399659024534477</v>
      </c>
      <c r="Q258" s="219">
        <f t="shared" si="61"/>
        <v>1.44</v>
      </c>
      <c r="R258" s="327">
        <f t="shared" ref="R258:R266" si="68">Q258/O258</f>
        <v>1.0000236794124737</v>
      </c>
    </row>
    <row r="259" spans="2:18" ht="15" customHeight="1" x14ac:dyDescent="0.2">
      <c r="E259" s="69">
        <v>3</v>
      </c>
      <c r="F259" s="168">
        <f t="shared" si="62"/>
        <v>2.69</v>
      </c>
      <c r="G259" s="47">
        <f t="shared" si="63"/>
        <v>0.89666666666666661</v>
      </c>
      <c r="H259" s="180">
        <f t="shared" si="64"/>
        <v>2.3810714320057335E-2</v>
      </c>
      <c r="I259" s="718"/>
      <c r="J259" s="180">
        <v>2.3810714320057335E-2</v>
      </c>
      <c r="K259" s="546">
        <v>3</v>
      </c>
      <c r="L259" s="551">
        <f t="shared" si="65"/>
        <v>2.3810714320057335E-2</v>
      </c>
      <c r="N259" s="72">
        <f t="shared" si="66"/>
        <v>0.89664543462957724</v>
      </c>
      <c r="O259" s="220">
        <f>K259*N259</f>
        <v>2.6899363038887318</v>
      </c>
      <c r="Q259" s="220">
        <f t="shared" si="61"/>
        <v>2.69</v>
      </c>
      <c r="R259" s="327">
        <f t="shared" si="68"/>
        <v>1.0000236794124737</v>
      </c>
    </row>
    <row r="260" spans="2:18" ht="15" customHeight="1" x14ac:dyDescent="0.2">
      <c r="E260" s="69">
        <v>4</v>
      </c>
      <c r="F260" s="168">
        <f t="shared" si="62"/>
        <v>4.24</v>
      </c>
      <c r="G260" s="47">
        <f t="shared" si="63"/>
        <v>1.06</v>
      </c>
      <c r="H260" s="180">
        <f t="shared" si="64"/>
        <v>2.8147981984305702E-2</v>
      </c>
      <c r="I260" s="718"/>
      <c r="J260" s="180">
        <v>2.8147981984305702E-2</v>
      </c>
      <c r="K260" s="546">
        <v>4</v>
      </c>
      <c r="L260" s="551">
        <f t="shared" si="65"/>
        <v>2.8147981984305702E-2</v>
      </c>
      <c r="N260" s="72">
        <f t="shared" si="66"/>
        <v>1.0599749004171213</v>
      </c>
      <c r="O260" s="220">
        <f t="shared" ref="O260:O266" si="69">K260*N260</f>
        <v>4.2398996016684851</v>
      </c>
      <c r="Q260" s="220">
        <f t="shared" si="61"/>
        <v>4.24</v>
      </c>
      <c r="R260" s="327">
        <f t="shared" si="68"/>
        <v>1.0000236794124737</v>
      </c>
    </row>
    <row r="261" spans="2:18" ht="15" customHeight="1" x14ac:dyDescent="0.2">
      <c r="E261" s="70">
        <v>5</v>
      </c>
      <c r="F261" s="167">
        <f t="shared" si="62"/>
        <v>6.1</v>
      </c>
      <c r="G261" s="48">
        <f t="shared" si="63"/>
        <v>1.22</v>
      </c>
      <c r="H261" s="179">
        <f t="shared" si="64"/>
        <v>3.2396733981936744E-2</v>
      </c>
      <c r="I261" s="718"/>
      <c r="J261" s="179">
        <v>3.2396733981936744E-2</v>
      </c>
      <c r="K261" s="545">
        <v>5</v>
      </c>
      <c r="L261" s="550">
        <f t="shared" si="65"/>
        <v>3.2396733981936744E-2</v>
      </c>
      <c r="N261" s="73">
        <f t="shared" si="66"/>
        <v>1.2199711118008374</v>
      </c>
      <c r="O261" s="219">
        <f t="shared" si="69"/>
        <v>6.0998555590041867</v>
      </c>
      <c r="Q261" s="219">
        <f t="shared" si="61"/>
        <v>6.1</v>
      </c>
      <c r="R261" s="327">
        <f t="shared" si="68"/>
        <v>1.0000236794124739</v>
      </c>
    </row>
    <row r="262" spans="2:18" ht="15" customHeight="1" x14ac:dyDescent="0.2">
      <c r="E262" s="69">
        <v>10</v>
      </c>
      <c r="F262" s="168">
        <f t="shared" si="62"/>
        <v>18.7</v>
      </c>
      <c r="G262" s="47">
        <f t="shared" si="63"/>
        <v>1.8699999999999999</v>
      </c>
      <c r="H262" s="180">
        <f t="shared" si="64"/>
        <v>4.9657288972312884E-2</v>
      </c>
      <c r="I262" s="718"/>
      <c r="J262" s="180">
        <v>4.9657288972312884E-2</v>
      </c>
      <c r="K262" s="547">
        <v>10</v>
      </c>
      <c r="L262" s="551">
        <f t="shared" si="65"/>
        <v>4.9657288972312884E-2</v>
      </c>
      <c r="M262" s="41"/>
      <c r="N262" s="76">
        <f t="shared" si="66"/>
        <v>1.8699557205471855</v>
      </c>
      <c r="O262" s="221">
        <f t="shared" si="69"/>
        <v>18.699557205471855</v>
      </c>
      <c r="Q262" s="221">
        <f t="shared" si="61"/>
        <v>18.7</v>
      </c>
      <c r="R262" s="327">
        <f t="shared" si="68"/>
        <v>1.0000236794124737</v>
      </c>
    </row>
    <row r="263" spans="2:18" ht="15" customHeight="1" x14ac:dyDescent="0.2">
      <c r="E263" s="69">
        <v>20</v>
      </c>
      <c r="F263" s="168">
        <f t="shared" si="62"/>
        <v>45.5</v>
      </c>
      <c r="G263" s="47">
        <f t="shared" si="63"/>
        <v>2.2749999999999999</v>
      </c>
      <c r="H263" s="180">
        <f t="shared" si="64"/>
        <v>6.0411942466316475E-2</v>
      </c>
      <c r="I263" s="718"/>
      <c r="J263" s="180">
        <v>6.0411942466316475E-2</v>
      </c>
      <c r="K263" s="546">
        <v>20</v>
      </c>
      <c r="L263" s="551">
        <f t="shared" si="65"/>
        <v>6.0411942466316475E-2</v>
      </c>
      <c r="N263" s="72">
        <f t="shared" si="66"/>
        <v>2.2749461306122174</v>
      </c>
      <c r="O263" s="220">
        <f t="shared" si="69"/>
        <v>45.49892261224435</v>
      </c>
      <c r="Q263" s="220">
        <f t="shared" si="61"/>
        <v>45.5</v>
      </c>
      <c r="R263" s="327">
        <f t="shared" si="68"/>
        <v>1.0000236794124737</v>
      </c>
    </row>
    <row r="264" spans="2:18" ht="15" customHeight="1" x14ac:dyDescent="0.2">
      <c r="E264" s="69">
        <v>30</v>
      </c>
      <c r="F264" s="168">
        <f t="shared" si="62"/>
        <v>61.64</v>
      </c>
      <c r="G264" s="47">
        <f t="shared" si="63"/>
        <v>2.0546666666666669</v>
      </c>
      <c r="H264" s="180">
        <f t="shared" si="64"/>
        <v>5.4561056902912054E-2</v>
      </c>
      <c r="I264" s="718"/>
      <c r="J264" s="180">
        <v>5.4561056902912054E-2</v>
      </c>
      <c r="K264" s="546">
        <v>30</v>
      </c>
      <c r="L264" s="551">
        <f t="shared" si="65"/>
        <v>5.4561056902912054E-2</v>
      </c>
      <c r="N264" s="72">
        <f t="shared" si="66"/>
        <v>2.054618014519225</v>
      </c>
      <c r="O264" s="220">
        <f t="shared" si="69"/>
        <v>61.638540435576751</v>
      </c>
      <c r="Q264" s="220">
        <f t="shared" si="61"/>
        <v>61.64</v>
      </c>
      <c r="R264" s="327">
        <f t="shared" si="68"/>
        <v>1.0000236794124737</v>
      </c>
    </row>
    <row r="265" spans="2:18" ht="15" customHeight="1" x14ac:dyDescent="0.2">
      <c r="E265" s="69">
        <v>40</v>
      </c>
      <c r="F265" s="168">
        <f t="shared" si="62"/>
        <v>76.25</v>
      </c>
      <c r="G265" s="47">
        <f t="shared" si="63"/>
        <v>1.90625</v>
      </c>
      <c r="H265" s="180">
        <f t="shared" si="64"/>
        <v>5.0619896846776168E-2</v>
      </c>
      <c r="I265" s="718"/>
      <c r="J265" s="180">
        <v>5.0619896846776168E-2</v>
      </c>
      <c r="K265" s="546">
        <v>40</v>
      </c>
      <c r="L265" s="551">
        <f t="shared" si="65"/>
        <v>5.0619896846776168E-2</v>
      </c>
      <c r="N265" s="72">
        <f t="shared" si="66"/>
        <v>1.9062048621888088</v>
      </c>
      <c r="O265" s="220">
        <f t="shared" si="69"/>
        <v>76.248194487552354</v>
      </c>
      <c r="Q265" s="220">
        <f t="shared" si="61"/>
        <v>76.25</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22" t="s">
        <v>715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33.999714285714276</v>
      </c>
      <c r="D288" s="162">
        <f t="shared" si="70"/>
        <v>104.99971428571428</v>
      </c>
      <c r="E288" s="162">
        <f t="shared" si="70"/>
        <v>23.999714285714283</v>
      </c>
      <c r="F288" s="162">
        <f>G288+J288</f>
        <v>29.505714285714284</v>
      </c>
      <c r="G288" s="162">
        <f t="shared" ref="G288:H297" si="71">F185</f>
        <v>23.505714285714284</v>
      </c>
      <c r="H288" s="887">
        <f t="shared" si="71"/>
        <v>0.49399999999999999</v>
      </c>
      <c r="I288" s="162">
        <f>M185</f>
        <v>75</v>
      </c>
      <c r="J288" s="162">
        <f t="shared" ref="J288:J297" si="72">L185</f>
        <v>6</v>
      </c>
      <c r="K288" s="886">
        <f>H288/G288</f>
        <v>2.1016166281755198E-2</v>
      </c>
      <c r="L288" s="889">
        <f t="shared" ref="L288:L297" si="73">F205</f>
        <v>0.90287359144940016</v>
      </c>
      <c r="M288" s="889">
        <f t="shared" ref="M288:M297" si="74">H227</f>
        <v>0.62418719079483276</v>
      </c>
      <c r="N288" s="889">
        <f t="shared" ref="N288:N297" si="75">H257</f>
        <v>1.3118021792685864E-2</v>
      </c>
      <c r="O288" s="40"/>
      <c r="P288" s="920">
        <f>L288</f>
        <v>0.90287359144940016</v>
      </c>
    </row>
    <row r="289" spans="1:22" ht="15" customHeight="1" x14ac:dyDescent="0.2">
      <c r="A289" s="35"/>
      <c r="B289" s="449">
        <v>2</v>
      </c>
      <c r="C289" s="127">
        <f t="shared" si="70"/>
        <v>62.517142857142829</v>
      </c>
      <c r="D289" s="127">
        <f t="shared" si="70"/>
        <v>133.51714285714283</v>
      </c>
      <c r="E289" s="127">
        <f t="shared" si="70"/>
        <v>49.517142857142829</v>
      </c>
      <c r="F289" s="127">
        <f t="shared" ref="F289:F297" si="76">G289+J289</f>
        <v>57.077142857142832</v>
      </c>
      <c r="G289" s="127">
        <f t="shared" si="71"/>
        <v>48.077142857142832</v>
      </c>
      <c r="H289" s="460">
        <f t="shared" si="71"/>
        <v>1.44</v>
      </c>
      <c r="I289" s="127">
        <f t="shared" ref="I289:I297" si="77">M186</f>
        <v>75</v>
      </c>
      <c r="J289" s="127">
        <f t="shared" si="72"/>
        <v>9</v>
      </c>
      <c r="K289" s="885">
        <f t="shared" ref="K289:K297" si="78">H289/G289</f>
        <v>2.9951863077197376E-2</v>
      </c>
      <c r="L289" s="585">
        <f t="shared" si="73"/>
        <v>0.83008164163162401</v>
      </c>
      <c r="M289" s="585">
        <f t="shared" si="74"/>
        <v>0.63833705235837157</v>
      </c>
      <c r="N289" s="585">
        <f t="shared" si="75"/>
        <v>1.9119383989339721E-2</v>
      </c>
      <c r="O289" s="1"/>
      <c r="P289" s="469">
        <f t="shared" ref="P289:P297" si="79">L289</f>
        <v>0.83008164163162401</v>
      </c>
    </row>
    <row r="290" spans="1:22" ht="15" customHeight="1" x14ac:dyDescent="0.2">
      <c r="A290" s="35"/>
      <c r="B290" s="449">
        <v>3</v>
      </c>
      <c r="C290" s="463">
        <f t="shared" si="70"/>
        <v>86.424285714285702</v>
      </c>
      <c r="D290" s="463">
        <f t="shared" si="70"/>
        <v>157.4242857142857</v>
      </c>
      <c r="E290" s="463">
        <f t="shared" si="70"/>
        <v>71.624285714285705</v>
      </c>
      <c r="F290" s="463">
        <f t="shared" si="76"/>
        <v>79.734285714285704</v>
      </c>
      <c r="G290" s="463">
        <f t="shared" si="71"/>
        <v>68.934285714285707</v>
      </c>
      <c r="H290" s="464">
        <f t="shared" si="71"/>
        <v>2.69</v>
      </c>
      <c r="I290" s="463">
        <f t="shared" si="77"/>
        <v>75</v>
      </c>
      <c r="J290" s="463">
        <f t="shared" si="72"/>
        <v>10.8</v>
      </c>
      <c r="K290" s="886">
        <f t="shared" si="78"/>
        <v>3.9022671695610731E-2</v>
      </c>
      <c r="L290" s="586">
        <f t="shared" si="73"/>
        <v>0.76500844071398877</v>
      </c>
      <c r="M290" s="586">
        <f t="shared" si="74"/>
        <v>0.6101764252788352</v>
      </c>
      <c r="N290" s="586">
        <f t="shared" si="75"/>
        <v>2.3810714320057335E-2</v>
      </c>
      <c r="O290" s="1"/>
      <c r="P290" s="470">
        <f t="shared" si="79"/>
        <v>0.76500844071398877</v>
      </c>
    </row>
    <row r="291" spans="1:22" ht="15" customHeight="1" x14ac:dyDescent="0.2">
      <c r="A291" s="35"/>
      <c r="B291" s="449">
        <v>4</v>
      </c>
      <c r="C291" s="463">
        <f t="shared" si="70"/>
        <v>107.71714285714287</v>
      </c>
      <c r="D291" s="463">
        <f t="shared" si="70"/>
        <v>178.71714285714287</v>
      </c>
      <c r="E291" s="463">
        <f t="shared" si="70"/>
        <v>91.717142857142875</v>
      </c>
      <c r="F291" s="463">
        <f t="shared" si="76"/>
        <v>99.47714285714288</v>
      </c>
      <c r="G291" s="463">
        <f t="shared" si="71"/>
        <v>87.47714285714288</v>
      </c>
      <c r="H291" s="464">
        <f t="shared" si="71"/>
        <v>4.24</v>
      </c>
      <c r="I291" s="463">
        <f t="shared" si="77"/>
        <v>75</v>
      </c>
      <c r="J291" s="463">
        <f t="shared" si="72"/>
        <v>12</v>
      </c>
      <c r="K291" s="886">
        <f t="shared" si="78"/>
        <v>4.8469804357056528E-2</v>
      </c>
      <c r="L291" s="586">
        <f t="shared" si="73"/>
        <v>0.71511603608504803</v>
      </c>
      <c r="M291" s="586">
        <f t="shared" si="74"/>
        <v>0.5807323210333476</v>
      </c>
      <c r="N291" s="586">
        <f t="shared" si="75"/>
        <v>2.8147981984305702E-2</v>
      </c>
      <c r="O291" s="1"/>
      <c r="P291" s="470">
        <f t="shared" si="79"/>
        <v>0.71511603608504803</v>
      </c>
    </row>
    <row r="292" spans="1:22" ht="15" customHeight="1" x14ac:dyDescent="0.2">
      <c r="A292" s="35"/>
      <c r="B292" s="449">
        <v>5</v>
      </c>
      <c r="C292" s="127">
        <f t="shared" si="70"/>
        <v>127.70571428571429</v>
      </c>
      <c r="D292" s="127">
        <f t="shared" si="70"/>
        <v>198.70571428571429</v>
      </c>
      <c r="E292" s="127">
        <f t="shared" si="70"/>
        <v>111.20571428571429</v>
      </c>
      <c r="F292" s="127">
        <f t="shared" si="76"/>
        <v>117.6057142857143</v>
      </c>
      <c r="G292" s="127">
        <f t="shared" si="71"/>
        <v>105.1057142857143</v>
      </c>
      <c r="H292" s="460">
        <f t="shared" si="71"/>
        <v>6.1</v>
      </c>
      <c r="I292" s="127">
        <f t="shared" si="77"/>
        <v>75</v>
      </c>
      <c r="J292" s="127">
        <f t="shared" si="72"/>
        <v>12.5</v>
      </c>
      <c r="K292" s="885">
        <f t="shared" si="78"/>
        <v>5.8036806480550186E-2</v>
      </c>
      <c r="L292" s="585">
        <f t="shared" si="73"/>
        <v>0.67825344611322536</v>
      </c>
      <c r="M292" s="585">
        <f t="shared" si="74"/>
        <v>0.55821014191733365</v>
      </c>
      <c r="N292" s="585">
        <f t="shared" si="75"/>
        <v>3.2396733981936744E-2</v>
      </c>
      <c r="O292" s="1"/>
      <c r="P292" s="921">
        <f>L292</f>
        <v>0.67825344611322536</v>
      </c>
    </row>
    <row r="293" spans="1:22" ht="15" customHeight="1" x14ac:dyDescent="0.2">
      <c r="A293" s="35"/>
      <c r="B293" s="449">
        <v>10</v>
      </c>
      <c r="C293" s="463">
        <f t="shared" si="70"/>
        <v>216.19000000000005</v>
      </c>
      <c r="D293" s="463">
        <f t="shared" si="70"/>
        <v>287.19000000000005</v>
      </c>
      <c r="E293" s="463">
        <f t="shared" si="70"/>
        <v>198.59000000000003</v>
      </c>
      <c r="F293" s="463">
        <f t="shared" si="76"/>
        <v>193.49000000000004</v>
      </c>
      <c r="G293" s="463">
        <f t="shared" si="71"/>
        <v>179.89000000000004</v>
      </c>
      <c r="H293" s="464">
        <f t="shared" si="71"/>
        <v>18.7</v>
      </c>
      <c r="I293" s="463">
        <f t="shared" si="77"/>
        <v>75</v>
      </c>
      <c r="J293" s="463">
        <f t="shared" si="72"/>
        <v>13.6</v>
      </c>
      <c r="K293" s="886">
        <f t="shared" si="78"/>
        <v>0.10395241536494522</v>
      </c>
      <c r="L293" s="586">
        <f t="shared" si="73"/>
        <v>0.57409965300049648</v>
      </c>
      <c r="M293" s="586">
        <f t="shared" si="74"/>
        <v>0.47769249803365593</v>
      </c>
      <c r="N293" s="586">
        <f t="shared" si="75"/>
        <v>4.9657288972312884E-2</v>
      </c>
      <c r="O293" s="1"/>
      <c r="P293" s="470">
        <f t="shared" si="79"/>
        <v>0.57409965300049648</v>
      </c>
    </row>
    <row r="294" spans="1:22" ht="15" customHeight="1" x14ac:dyDescent="0.2">
      <c r="A294" s="35"/>
      <c r="B294" s="449">
        <v>20</v>
      </c>
      <c r="C294" s="463">
        <f t="shared" si="70"/>
        <v>367.34000000000015</v>
      </c>
      <c r="D294" s="463">
        <f t="shared" si="70"/>
        <v>438.34000000000015</v>
      </c>
      <c r="E294" s="463">
        <f t="shared" si="70"/>
        <v>348.74000000000012</v>
      </c>
      <c r="F294" s="463">
        <f t="shared" si="76"/>
        <v>317.84000000000015</v>
      </c>
      <c r="G294" s="463">
        <f t="shared" si="71"/>
        <v>303.24000000000012</v>
      </c>
      <c r="H294" s="464">
        <f t="shared" si="71"/>
        <v>45.5</v>
      </c>
      <c r="I294" s="463">
        <f t="shared" si="77"/>
        <v>75</v>
      </c>
      <c r="J294" s="463">
        <f t="shared" si="72"/>
        <v>14.6</v>
      </c>
      <c r="K294" s="886">
        <f t="shared" si="78"/>
        <v>0.15004616805170815</v>
      </c>
      <c r="L294" s="586">
        <f t="shared" si="73"/>
        <v>0.48774172379204034</v>
      </c>
      <c r="M294" s="586">
        <f t="shared" si="74"/>
        <v>0.40262236117551242</v>
      </c>
      <c r="N294" s="586">
        <f t="shared" si="75"/>
        <v>6.0411942466316475E-2</v>
      </c>
      <c r="O294" s="1"/>
      <c r="P294" s="470">
        <f t="shared" si="79"/>
        <v>0.48774172379204034</v>
      </c>
    </row>
    <row r="295" spans="1:22" ht="15" customHeight="1" x14ac:dyDescent="0.2">
      <c r="A295" s="35"/>
      <c r="B295" s="449">
        <v>30</v>
      </c>
      <c r="C295" s="463">
        <f t="shared" si="70"/>
        <v>491.58000000000004</v>
      </c>
      <c r="D295" s="463">
        <f t="shared" si="70"/>
        <v>562.58000000000004</v>
      </c>
      <c r="E295" s="463">
        <f t="shared" si="70"/>
        <v>472.48</v>
      </c>
      <c r="F295" s="463">
        <f t="shared" si="76"/>
        <v>425.94000000000005</v>
      </c>
      <c r="G295" s="463">
        <f t="shared" si="71"/>
        <v>410.84000000000003</v>
      </c>
      <c r="H295" s="464">
        <f t="shared" si="71"/>
        <v>61.64</v>
      </c>
      <c r="I295" s="463">
        <f t="shared" si="77"/>
        <v>75</v>
      </c>
      <c r="J295" s="463">
        <f t="shared" si="72"/>
        <v>15.1</v>
      </c>
      <c r="K295" s="886">
        <f t="shared" si="78"/>
        <v>0.15003407652614156</v>
      </c>
      <c r="L295" s="586">
        <f t="shared" si="73"/>
        <v>0.43513561746917678</v>
      </c>
      <c r="M295" s="586">
        <f t="shared" si="74"/>
        <v>0.36365776473057093</v>
      </c>
      <c r="N295" s="586">
        <f t="shared" si="75"/>
        <v>5.4561056902912054E-2</v>
      </c>
      <c r="O295" s="1"/>
      <c r="P295" s="470">
        <f t="shared" si="79"/>
        <v>0.43513561746917678</v>
      </c>
      <c r="R295" s="491" t="s">
        <v>531</v>
      </c>
    </row>
    <row r="296" spans="1:22" ht="15" customHeight="1" x14ac:dyDescent="0.2">
      <c r="A296" s="35"/>
      <c r="B296" s="449">
        <v>40</v>
      </c>
      <c r="C296" s="463">
        <f t="shared" si="70"/>
        <v>605.28999999999985</v>
      </c>
      <c r="D296" s="463">
        <f t="shared" si="70"/>
        <v>676.28999999999985</v>
      </c>
      <c r="E296" s="463">
        <f t="shared" si="70"/>
        <v>584.78999999999985</v>
      </c>
      <c r="F296" s="463">
        <f t="shared" si="76"/>
        <v>524.03999999999985</v>
      </c>
      <c r="G296" s="463">
        <f t="shared" si="71"/>
        <v>508.53999999999985</v>
      </c>
      <c r="H296" s="464">
        <f t="shared" si="71"/>
        <v>76.25</v>
      </c>
      <c r="I296" s="463">
        <f t="shared" si="77"/>
        <v>76</v>
      </c>
      <c r="J296" s="463">
        <f t="shared" si="72"/>
        <v>15.5</v>
      </c>
      <c r="K296" s="886">
        <f t="shared" si="78"/>
        <v>0.14993904117670198</v>
      </c>
      <c r="L296" s="586">
        <f t="shared" si="73"/>
        <v>0.40184187400512317</v>
      </c>
      <c r="M296" s="586">
        <f t="shared" si="74"/>
        <v>0.33760317826176456</v>
      </c>
      <c r="N296" s="586">
        <f t="shared" si="75"/>
        <v>5.0619896846776168E-2</v>
      </c>
      <c r="O296" s="1"/>
      <c r="P296" s="470">
        <f t="shared" si="79"/>
        <v>0.40184187400512317</v>
      </c>
      <c r="R296" s="491" t="s">
        <v>532</v>
      </c>
    </row>
    <row r="297" spans="1:22" ht="15" customHeight="1" x14ac:dyDescent="0.2">
      <c r="A297" s="35"/>
      <c r="B297" s="449">
        <v>50</v>
      </c>
      <c r="C297" s="127">
        <f t="shared" si="70"/>
        <v>714.28999999999974</v>
      </c>
      <c r="D297" s="127">
        <f t="shared" si="70"/>
        <v>785.28999999999974</v>
      </c>
      <c r="E297" s="127">
        <f t="shared" si="70"/>
        <v>692.48999999999978</v>
      </c>
      <c r="F297" s="127">
        <f t="shared" si="76"/>
        <v>617.98999999999978</v>
      </c>
      <c r="G297" s="127">
        <f t="shared" si="71"/>
        <v>602.18999999999983</v>
      </c>
      <c r="H297" s="460">
        <f t="shared" si="71"/>
        <v>90.3</v>
      </c>
      <c r="I297" s="127">
        <f t="shared" si="77"/>
        <v>77</v>
      </c>
      <c r="J297" s="127">
        <f t="shared" si="72"/>
        <v>15.8</v>
      </c>
      <c r="K297" s="885">
        <f t="shared" si="78"/>
        <v>0.14995267274448268</v>
      </c>
      <c r="L297" s="585">
        <f t="shared" si="73"/>
        <v>0.37936411595515462</v>
      </c>
      <c r="M297" s="585">
        <f t="shared" si="74"/>
        <v>0.31981949568168005</v>
      </c>
      <c r="N297" s="585">
        <f t="shared" si="75"/>
        <v>4.7957788173260463E-2</v>
      </c>
      <c r="O297" s="1"/>
      <c r="P297" s="921">
        <f t="shared" si="79"/>
        <v>0.37936411595515462</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716</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0A9F-605E-46BE-BAC7-A77DF149A671}">
  <sheetPr transitionEvaluation="1" transitionEntry="1">
    <tabColor theme="9" tint="0.39997558519241921"/>
  </sheetPr>
  <dimension ref="A1:AD404"/>
  <sheetViews>
    <sheetView showGridLines="0" topLeftCell="A272" zoomScale="90" zoomScaleNormal="90" workbookViewId="0">
      <selection activeCell="B275" sqref="B275"/>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22" t="s">
        <v>715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100_71_38_g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2.1</v>
      </c>
      <c r="B30" s="68">
        <v>1</v>
      </c>
      <c r="C30" s="398">
        <v>2</v>
      </c>
      <c r="D30" s="398">
        <v>2.1</v>
      </c>
      <c r="E30" s="389">
        <f>SUM(C30:D30)/2</f>
        <v>2.0499999999999998</v>
      </c>
      <c r="F30" s="866">
        <f>C30/D30</f>
        <v>0.95238095238095233</v>
      </c>
      <c r="G30" s="874">
        <v>0.9</v>
      </c>
      <c r="I30" s="28" t="s">
        <v>613</v>
      </c>
      <c r="U30" t="s">
        <v>587</v>
      </c>
    </row>
    <row r="31" spans="1:30" ht="15" customHeight="1" x14ac:dyDescent="0.2">
      <c r="A31" s="871">
        <v>3</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3.9</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4.8499999999999996</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5.8</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10.4</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t="s">
        <v>701</v>
      </c>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27</v>
      </c>
      <c r="C108" s="106">
        <v>1</v>
      </c>
      <c r="D108" s="715">
        <v>27</v>
      </c>
      <c r="E108" s="38"/>
      <c r="F108" s="175">
        <v>35.299999999999997</v>
      </c>
    </row>
    <row r="109" spans="1:12" ht="15" customHeight="1" x14ac:dyDescent="0.2">
      <c r="B109" s="716">
        <v>53.9</v>
      </c>
      <c r="C109" s="106">
        <v>2</v>
      </c>
      <c r="D109" s="716">
        <v>53.9</v>
      </c>
      <c r="E109" s="605">
        <f>D109/D108</f>
        <v>1.9962962962962962</v>
      </c>
      <c r="F109" s="176">
        <v>64.2</v>
      </c>
    </row>
    <row r="110" spans="1:12" ht="15" customHeight="1" x14ac:dyDescent="0.2">
      <c r="B110" s="65">
        <v>75.400000000000006</v>
      </c>
      <c r="C110" s="106">
        <v>3</v>
      </c>
      <c r="D110" s="65">
        <v>75.400000000000006</v>
      </c>
      <c r="E110" s="605">
        <f t="shared" ref="E110:E112" si="9">D110/D109</f>
        <v>1.3988868274582562</v>
      </c>
      <c r="F110" s="717">
        <v>88.1</v>
      </c>
    </row>
    <row r="111" spans="1:12" ht="15" customHeight="1" x14ac:dyDescent="0.2">
      <c r="B111" s="65">
        <v>93.5</v>
      </c>
      <c r="C111" s="106">
        <v>4</v>
      </c>
      <c r="D111" s="65">
        <v>93.5</v>
      </c>
      <c r="E111" s="605">
        <f t="shared" si="9"/>
        <v>1.2400530503978779</v>
      </c>
      <c r="F111" s="717">
        <v>107.5</v>
      </c>
    </row>
    <row r="112" spans="1:12" ht="15" customHeight="1" x14ac:dyDescent="0.2">
      <c r="B112" s="716">
        <v>110.2</v>
      </c>
      <c r="C112" s="106">
        <v>5</v>
      </c>
      <c r="D112" s="716">
        <v>110.2</v>
      </c>
      <c r="E112" s="605">
        <f t="shared" si="9"/>
        <v>1.1786096256684493</v>
      </c>
      <c r="F112" s="176">
        <v>123.1</v>
      </c>
    </row>
    <row r="113" spans="1:8" ht="15" customHeight="1" x14ac:dyDescent="0.2">
      <c r="B113" s="65">
        <v>182.2</v>
      </c>
      <c r="C113" s="106">
        <v>10</v>
      </c>
      <c r="D113" s="65">
        <v>182.2</v>
      </c>
      <c r="E113" s="605">
        <f>(D113/D112)/5</f>
        <v>0.33067150635208709</v>
      </c>
      <c r="F113" s="177">
        <v>192.2</v>
      </c>
    </row>
    <row r="114" spans="1:8" ht="15" customHeight="1" x14ac:dyDescent="0.2">
      <c r="B114" s="65">
        <v>304.8</v>
      </c>
      <c r="C114" s="106">
        <v>20</v>
      </c>
      <c r="D114" s="65">
        <v>304.8</v>
      </c>
      <c r="E114" s="605">
        <f>(D114/D113)/10</f>
        <v>0.16728869374313943</v>
      </c>
      <c r="F114" s="177">
        <v>309.10000000000002</v>
      </c>
    </row>
    <row r="115" spans="1:8" ht="15" customHeight="1" x14ac:dyDescent="0.2">
      <c r="B115" s="65">
        <v>411.4</v>
      </c>
      <c r="C115" s="106">
        <v>30</v>
      </c>
      <c r="D115" s="65">
        <v>411.4</v>
      </c>
      <c r="E115" s="605">
        <f t="shared" ref="E115:E117" si="10">(D115/D114)/10</f>
        <v>0.13497375328083988</v>
      </c>
      <c r="F115" s="177">
        <v>413</v>
      </c>
    </row>
    <row r="116" spans="1:8" ht="15" customHeight="1" x14ac:dyDescent="0.2">
      <c r="B116" s="65">
        <v>508.3</v>
      </c>
      <c r="C116" s="106">
        <v>40</v>
      </c>
      <c r="D116" s="65">
        <v>508.3</v>
      </c>
      <c r="E116" s="605">
        <f t="shared" si="10"/>
        <v>0.12355371900826446</v>
      </c>
      <c r="F116" s="177">
        <v>508.6</v>
      </c>
    </row>
    <row r="117" spans="1:8" ht="15" customHeight="1" x14ac:dyDescent="0.2">
      <c r="B117" s="716">
        <v>602.1</v>
      </c>
      <c r="C117" s="106">
        <v>50</v>
      </c>
      <c r="D117" s="716">
        <v>602.1</v>
      </c>
      <c r="E117" s="605">
        <f t="shared" si="10"/>
        <v>0.11845366909305528</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0.33333333333332843</v>
      </c>
      <c r="F126" s="408">
        <f>INDEX(LINEST(D$139:D$143,($C$139:$C$143)^{1,2,3}),1)</f>
        <v>1.0750000000000013E-3</v>
      </c>
      <c r="H126" t="s">
        <v>300</v>
      </c>
    </row>
    <row r="127" spans="1:8" ht="15" customHeight="1" x14ac:dyDescent="0.2">
      <c r="E127" s="409" cm="1">
        <f t="array" ref="E127">_xlfn.SINGLE(INDEX(LINEST(D$134:D$138,($C$134:$C$138)^{1,2,3}),2))</f>
        <v>-4.6999999999999487</v>
      </c>
      <c r="F127" s="408">
        <f>INDEX(LINEST(D$139:D$143,($C$139:$C$143)^{1,2,3}),2)</f>
        <v>-0.14482142857142868</v>
      </c>
      <c r="H127" t="s">
        <v>301</v>
      </c>
    </row>
    <row r="128" spans="1:8" ht="15" customHeight="1" x14ac:dyDescent="0.2">
      <c r="E128" s="409">
        <f>INDEX(LINEST(D$134:D$138,($C$134:$C$138)^{1,2,3}),3)</f>
        <v>38.666666666666515</v>
      </c>
      <c r="F128" s="408">
        <f>INDEX(LINEST(D$139:D$143,($C$139:$C$143)^{1,2,3}),3)</f>
        <v>15.854285714285716</v>
      </c>
    </row>
    <row r="129" spans="1:11" ht="15" customHeight="1" x14ac:dyDescent="0.2">
      <c r="E129" s="409">
        <f>INDEX(LINEST(D$134:D$138,($C$134:$C$138)^{1,2,3}),4)</f>
        <v>-7.2999999999998906</v>
      </c>
      <c r="F129" s="408">
        <f>INDEX(LINEST(D$139:D$143,($C$139:$C$143)^{1,2,3}),4)</f>
        <v>37.060000000000059</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27</v>
      </c>
      <c r="E134" s="114">
        <f>(E$126*($C134)^3)+(E$127*($C134)^2)+(E$128*($C134)^1)+(E$129)</f>
        <v>27.000000000000007</v>
      </c>
      <c r="F134" s="2"/>
      <c r="H134" s="106">
        <v>1</v>
      </c>
      <c r="I134" s="393">
        <f>E134</f>
        <v>27.000000000000007</v>
      </c>
      <c r="J134" s="109">
        <f>B108</f>
        <v>27</v>
      </c>
      <c r="K134" s="410">
        <f>I134-J134</f>
        <v>0</v>
      </c>
    </row>
    <row r="135" spans="1:11" ht="15" customHeight="1" x14ac:dyDescent="0.2">
      <c r="C135" s="106">
        <v>2</v>
      </c>
      <c r="D135" s="110">
        <f t="shared" ref="D135:D143" si="11">D109</f>
        <v>53.9</v>
      </c>
      <c r="E135" s="114">
        <f>(E$126*($C135)^3)+(E$127*($C135)^2)+(E$128*($C135)^1)+(E$129)</f>
        <v>53.89999999999997</v>
      </c>
      <c r="F135" s="2"/>
      <c r="H135" s="106">
        <v>2</v>
      </c>
      <c r="I135" s="393">
        <f t="shared" ref="I135:I138" si="12">E135</f>
        <v>53.89999999999997</v>
      </c>
      <c r="J135" s="110">
        <f t="shared" ref="J135:J143" si="13">B109</f>
        <v>53.9</v>
      </c>
      <c r="K135" s="411">
        <f t="shared" ref="K135:K143" si="14">I135-J135</f>
        <v>0</v>
      </c>
    </row>
    <row r="136" spans="1:11" ht="15" customHeight="1" x14ac:dyDescent="0.2">
      <c r="B136" s="28" t="s">
        <v>308</v>
      </c>
      <c r="C136" s="106">
        <v>3</v>
      </c>
      <c r="D136" s="105">
        <f t="shared" si="11"/>
        <v>75.400000000000006</v>
      </c>
      <c r="E136" s="114">
        <f t="shared" ref="E136" si="15">(E$126*($C136)^3)+(E$127*($C136)^2)+(E$128*($C136)^1)+(E$129)</f>
        <v>75.399999999999977</v>
      </c>
      <c r="F136" s="2"/>
      <c r="H136" s="106">
        <v>3</v>
      </c>
      <c r="I136" s="393">
        <f t="shared" si="12"/>
        <v>75.399999999999977</v>
      </c>
      <c r="J136" s="105">
        <f t="shared" si="13"/>
        <v>75.400000000000006</v>
      </c>
      <c r="K136" s="412">
        <f t="shared" si="14"/>
        <v>0</v>
      </c>
    </row>
    <row r="137" spans="1:11" ht="15" customHeight="1" x14ac:dyDescent="0.2">
      <c r="C137" s="106">
        <v>4</v>
      </c>
      <c r="D137" s="105">
        <f t="shared" si="11"/>
        <v>93.5</v>
      </c>
      <c r="E137" s="114">
        <f>(E$126*($C137)^3)+(E$127*($C137)^2)+(E$128*($C137)^1)+(E$129)</f>
        <v>93.5</v>
      </c>
      <c r="F137" s="2"/>
      <c r="H137" s="106">
        <v>4</v>
      </c>
      <c r="I137" s="393">
        <f t="shared" si="12"/>
        <v>93.5</v>
      </c>
      <c r="J137" s="105">
        <f t="shared" si="13"/>
        <v>93.5</v>
      </c>
      <c r="K137" s="412">
        <f t="shared" si="14"/>
        <v>0</v>
      </c>
    </row>
    <row r="138" spans="1:11" ht="15" customHeight="1" x14ac:dyDescent="0.2">
      <c r="C138" s="106">
        <v>5</v>
      </c>
      <c r="D138" s="110">
        <f t="shared" si="11"/>
        <v>110.2</v>
      </c>
      <c r="E138" s="114">
        <f>(E$126*($C138)^3)+(E$127*($C138)^2)+(E$128*($C138)^1)+(E$129)</f>
        <v>110.20000000000002</v>
      </c>
      <c r="F138" s="115"/>
      <c r="H138" s="106">
        <v>5</v>
      </c>
      <c r="I138" s="393">
        <f t="shared" si="12"/>
        <v>110.20000000000002</v>
      </c>
      <c r="J138" s="110">
        <f t="shared" si="13"/>
        <v>110.2</v>
      </c>
      <c r="K138" s="411">
        <f t="shared" si="14"/>
        <v>0</v>
      </c>
    </row>
    <row r="139" spans="1:11" ht="15" customHeight="1" x14ac:dyDescent="0.2">
      <c r="C139" s="106">
        <v>10</v>
      </c>
      <c r="D139" s="105">
        <f t="shared" si="11"/>
        <v>182.2</v>
      </c>
      <c r="E139" s="114"/>
      <c r="F139" s="115">
        <f>(F$126*($C139)^3)+(F$127*($C139)^2)+(F$128*($C139)^1)+(F$129)</f>
        <v>182.19571428571433</v>
      </c>
      <c r="H139" s="106">
        <v>10</v>
      </c>
      <c r="I139" s="393">
        <f>F139</f>
        <v>182.19571428571433</v>
      </c>
      <c r="J139" s="105">
        <f t="shared" si="13"/>
        <v>182.2</v>
      </c>
      <c r="K139" s="412">
        <f t="shared" si="14"/>
        <v>-4.2857142856576047E-3</v>
      </c>
    </row>
    <row r="140" spans="1:11" ht="15" customHeight="1" x14ac:dyDescent="0.2">
      <c r="C140" s="106">
        <v>20</v>
      </c>
      <c r="D140" s="105">
        <f t="shared" si="11"/>
        <v>304.8</v>
      </c>
      <c r="E140" s="2"/>
      <c r="F140" s="115">
        <f t="shared" ref="F140:F143" si="16">(F$126*($C140)^3)+(F$127*($C140)^2)+(F$128*($C140)^1)+(F$129)</f>
        <v>304.81714285714287</v>
      </c>
      <c r="H140" s="106">
        <v>20</v>
      </c>
      <c r="I140" s="393">
        <f t="shared" ref="I140:I143" si="17">F140</f>
        <v>304.81714285714287</v>
      </c>
      <c r="J140" s="105">
        <f t="shared" si="13"/>
        <v>304.8</v>
      </c>
      <c r="K140" s="412">
        <f t="shared" si="14"/>
        <v>1.7142857142857792E-2</v>
      </c>
    </row>
    <row r="141" spans="1:11" ht="15" customHeight="1" x14ac:dyDescent="0.2">
      <c r="B141" s="28" t="s">
        <v>297</v>
      </c>
      <c r="C141" s="106">
        <v>30</v>
      </c>
      <c r="D141" s="105">
        <f t="shared" si="11"/>
        <v>411.4</v>
      </c>
      <c r="E141" s="2"/>
      <c r="F141" s="115">
        <f t="shared" si="16"/>
        <v>411.37428571428575</v>
      </c>
      <c r="H141" s="106">
        <v>30</v>
      </c>
      <c r="I141" s="393">
        <f t="shared" si="17"/>
        <v>411.37428571428575</v>
      </c>
      <c r="J141" s="105">
        <f t="shared" si="13"/>
        <v>411.4</v>
      </c>
      <c r="K141" s="412">
        <f t="shared" si="14"/>
        <v>-2.5714285714229845E-2</v>
      </c>
    </row>
    <row r="142" spans="1:11" ht="15" customHeight="1" x14ac:dyDescent="0.2">
      <c r="C142" s="106">
        <v>40</v>
      </c>
      <c r="D142" s="105">
        <f t="shared" si="11"/>
        <v>508.3</v>
      </c>
      <c r="E142" s="2"/>
      <c r="F142" s="115">
        <f t="shared" si="16"/>
        <v>508.31714285714281</v>
      </c>
      <c r="H142" s="106">
        <v>40</v>
      </c>
      <c r="I142" s="393">
        <f t="shared" si="17"/>
        <v>508.31714285714281</v>
      </c>
      <c r="J142" s="105">
        <f t="shared" si="13"/>
        <v>508.3</v>
      </c>
      <c r="K142" s="412">
        <f t="shared" si="14"/>
        <v>1.7142857142800949E-2</v>
      </c>
    </row>
    <row r="143" spans="1:11" ht="15" customHeight="1" x14ac:dyDescent="0.2">
      <c r="C143" s="106">
        <v>50</v>
      </c>
      <c r="D143" s="110">
        <f t="shared" si="11"/>
        <v>602.1</v>
      </c>
      <c r="E143" s="2"/>
      <c r="F143" s="115">
        <f t="shared" si="16"/>
        <v>602.09571428571428</v>
      </c>
      <c r="H143" s="106">
        <v>50</v>
      </c>
      <c r="I143" s="394">
        <f t="shared" si="17"/>
        <v>602.09571428571428</v>
      </c>
      <c r="J143" s="110">
        <f t="shared" si="13"/>
        <v>602.1</v>
      </c>
      <c r="K143" s="411">
        <f t="shared" si="14"/>
        <v>-4.2857142857428698E-3</v>
      </c>
    </row>
    <row r="144" spans="1:11" ht="15" customHeight="1" x14ac:dyDescent="0.2">
      <c r="I144" s="38"/>
    </row>
    <row r="145" spans="1:25" ht="15" customHeight="1" x14ac:dyDescent="0.2">
      <c r="D145" s="602">
        <f>D135/D134</f>
        <v>1.9962962962962962</v>
      </c>
      <c r="E145" s="603">
        <f>D138/D135</f>
        <v>2.0445269016697587</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27.567000000000007</v>
      </c>
      <c r="D157" s="119">
        <f>I134</f>
        <v>27.000000000000007</v>
      </c>
      <c r="E157" s="118">
        <v>0.56699999999999995</v>
      </c>
      <c r="F157" s="152">
        <f>E157/D157</f>
        <v>2.0999999999999991E-2</v>
      </c>
      <c r="G157" s="374">
        <f t="shared" ref="G157:G166" si="18">G30</f>
        <v>0.9</v>
      </c>
      <c r="H157" s="375">
        <f>E157-G157</f>
        <v>-0.33300000000000007</v>
      </c>
      <c r="J157" s="917">
        <f>C59</f>
        <v>2.1000000000000001E-2</v>
      </c>
      <c r="K157" s="150">
        <f>J157-F157</f>
        <v>0</v>
      </c>
      <c r="M157" s="402">
        <f>C157/D157</f>
        <v>1.0209999999999999</v>
      </c>
      <c r="N157" s="143">
        <f>D157*M157</f>
        <v>27.567000000000004</v>
      </c>
      <c r="O157" s="287">
        <f t="shared" ref="O157:O166" si="19">N157-C157</f>
        <v>0</v>
      </c>
      <c r="P157" s="288">
        <f>J157/F157</f>
        <v>1.0000000000000004</v>
      </c>
      <c r="Q157" s="289">
        <f t="shared" ref="Q157:Q166" si="20">P157*E157</f>
        <v>0.56700000000000017</v>
      </c>
      <c r="R157" s="267" t="s">
        <v>200</v>
      </c>
      <c r="U157" s="152">
        <f>E157/D157</f>
        <v>2.0999999999999991E-2</v>
      </c>
      <c r="Y157">
        <f>1.6/1.99</f>
        <v>0.8040201005025126</v>
      </c>
    </row>
    <row r="158" spans="1:25" ht="15" customHeight="1" x14ac:dyDescent="0.2">
      <c r="A158" s="118">
        <v>1.6</v>
      </c>
      <c r="B158" s="106">
        <v>2</v>
      </c>
      <c r="C158" s="120">
        <f t="shared" ref="C158:C166" si="21">D158+E158</f>
        <v>55.514999999999972</v>
      </c>
      <c r="D158" s="120">
        <f t="shared" ref="D158:D166" si="22">I135</f>
        <v>53.89999999999997</v>
      </c>
      <c r="E158" s="118">
        <v>1.615</v>
      </c>
      <c r="F158" s="153">
        <f t="shared" ref="F158:F166" si="23">E158/D158</f>
        <v>2.9962894248608551E-2</v>
      </c>
      <c r="G158" s="376">
        <f t="shared" si="18"/>
        <v>1.6</v>
      </c>
      <c r="H158" s="377">
        <f t="shared" ref="H158:H166" si="24">E158-G158</f>
        <v>1.4999999999999902E-2</v>
      </c>
      <c r="J158" s="402">
        <f t="shared" ref="J158:J166" si="25">C60</f>
        <v>0.03</v>
      </c>
      <c r="K158" s="150">
        <f t="shared" ref="K158:K165" si="26">J158-F158</f>
        <v>3.7105751391448144E-5</v>
      </c>
      <c r="M158" s="402">
        <f t="shared" ref="M158:M166" si="27">C158/D158</f>
        <v>1.0299628942486085</v>
      </c>
      <c r="N158" s="144">
        <f t="shared" ref="N158:N166" si="28">D158*M158</f>
        <v>55.514999999999972</v>
      </c>
      <c r="O158" s="287">
        <f t="shared" si="19"/>
        <v>0</v>
      </c>
      <c r="P158" s="288">
        <f t="shared" ref="P158:P166" si="29">J158/F158</f>
        <v>1.0012383900928787</v>
      </c>
      <c r="Q158" s="290">
        <f t="shared" si="20"/>
        <v>1.6169999999999991</v>
      </c>
      <c r="R158" s="267" t="s">
        <v>312</v>
      </c>
      <c r="U158" s="152">
        <f t="shared" ref="U158:U166" si="30">E158/D158</f>
        <v>2.9962894248608551E-2</v>
      </c>
    </row>
    <row r="159" spans="1:25" ht="15" customHeight="1" x14ac:dyDescent="0.2">
      <c r="A159" s="118">
        <v>2.6</v>
      </c>
      <c r="B159" s="106">
        <v>3</v>
      </c>
      <c r="C159" s="121">
        <f t="shared" si="21"/>
        <v>78.339999999999975</v>
      </c>
      <c r="D159" s="121">
        <f t="shared" si="22"/>
        <v>75.399999999999977</v>
      </c>
      <c r="E159" s="118">
        <v>2.94</v>
      </c>
      <c r="F159" s="154">
        <f t="shared" si="23"/>
        <v>3.8992042440318314E-2</v>
      </c>
      <c r="G159" s="378">
        <f t="shared" si="18"/>
        <v>2.6</v>
      </c>
      <c r="H159" s="379">
        <f t="shared" si="24"/>
        <v>0.33999999999999986</v>
      </c>
      <c r="J159" s="402">
        <f t="shared" si="25"/>
        <v>3.9E-2</v>
      </c>
      <c r="K159" s="150">
        <f t="shared" si="26"/>
        <v>7.9575596816858218E-6</v>
      </c>
      <c r="M159" s="402">
        <f t="shared" si="27"/>
        <v>1.0389920424403183</v>
      </c>
      <c r="N159" s="145">
        <f t="shared" si="28"/>
        <v>78.339999999999975</v>
      </c>
      <c r="O159" s="287">
        <f t="shared" si="19"/>
        <v>0</v>
      </c>
      <c r="P159" s="288">
        <f t="shared" si="29"/>
        <v>1.0002040816326527</v>
      </c>
      <c r="Q159" s="288">
        <f t="shared" si="20"/>
        <v>2.940599999999999</v>
      </c>
      <c r="R159" s="267" t="s">
        <v>143</v>
      </c>
      <c r="U159" s="152">
        <f t="shared" si="30"/>
        <v>3.8992042440318314E-2</v>
      </c>
    </row>
    <row r="160" spans="1:25" ht="15" customHeight="1" x14ac:dyDescent="0.2">
      <c r="A160" s="118">
        <v>3.8</v>
      </c>
      <c r="B160" s="106">
        <v>4</v>
      </c>
      <c r="C160" s="121">
        <f t="shared" si="21"/>
        <v>98.034999999999997</v>
      </c>
      <c r="D160" s="121">
        <f t="shared" si="22"/>
        <v>93.5</v>
      </c>
      <c r="E160" s="118">
        <v>4.5350000000000001</v>
      </c>
      <c r="F160" s="154">
        <f t="shared" si="23"/>
        <v>4.8502673796791448E-2</v>
      </c>
      <c r="G160" s="378">
        <f t="shared" si="18"/>
        <v>3.8</v>
      </c>
      <c r="H160" s="379">
        <f t="shared" si="24"/>
        <v>0.73500000000000032</v>
      </c>
      <c r="J160" s="402">
        <f t="shared" si="25"/>
        <v>4.8499999999999995E-2</v>
      </c>
      <c r="K160" s="150">
        <f t="shared" si="26"/>
        <v>-2.6737967914539085E-6</v>
      </c>
      <c r="M160" s="402">
        <f t="shared" si="27"/>
        <v>1.0485026737967915</v>
      </c>
      <c r="N160" s="145">
        <f t="shared" si="28"/>
        <v>98.035000000000011</v>
      </c>
      <c r="O160" s="287">
        <f t="shared" si="19"/>
        <v>0</v>
      </c>
      <c r="P160" s="288">
        <f t="shared" si="29"/>
        <v>0.9999448732083791</v>
      </c>
      <c r="Q160" s="288">
        <f t="shared" si="20"/>
        <v>4.5347499999999989</v>
      </c>
      <c r="R160" s="88" t="s">
        <v>142</v>
      </c>
      <c r="U160" s="152">
        <f t="shared" si="30"/>
        <v>4.8502673796791448E-2</v>
      </c>
    </row>
    <row r="161" spans="1:25" ht="15" customHeight="1" x14ac:dyDescent="0.2">
      <c r="A161" s="118">
        <v>5.0999999999999996</v>
      </c>
      <c r="B161" s="106">
        <v>5</v>
      </c>
      <c r="C161" s="120">
        <f t="shared" si="21"/>
        <v>116.59500000000001</v>
      </c>
      <c r="D161" s="120">
        <f t="shared" si="22"/>
        <v>110.20000000000002</v>
      </c>
      <c r="E161" s="118">
        <v>6.3949999999999996</v>
      </c>
      <c r="F161" s="153">
        <f t="shared" si="23"/>
        <v>5.8030852994555342E-2</v>
      </c>
      <c r="G161" s="376">
        <f t="shared" si="18"/>
        <v>5.0999999999999996</v>
      </c>
      <c r="H161" s="377">
        <f t="shared" si="24"/>
        <v>1.2949999999999999</v>
      </c>
      <c r="J161" s="402">
        <f t="shared" si="25"/>
        <v>5.7999999999999996E-2</v>
      </c>
      <c r="K161" s="150">
        <f t="shared" si="26"/>
        <v>-3.0852994555345681E-5</v>
      </c>
      <c r="M161" s="402">
        <f t="shared" si="27"/>
        <v>1.0580308529945552</v>
      </c>
      <c r="N161" s="144">
        <f t="shared" si="28"/>
        <v>116.595</v>
      </c>
      <c r="O161" s="287">
        <f t="shared" si="19"/>
        <v>0</v>
      </c>
      <c r="P161" s="288">
        <f t="shared" si="29"/>
        <v>0.99946833463643481</v>
      </c>
      <c r="Q161" s="290">
        <f t="shared" si="20"/>
        <v>6.3916000000000004</v>
      </c>
      <c r="U161" s="152">
        <f t="shared" si="30"/>
        <v>5.8030852994555342E-2</v>
      </c>
      <c r="Y161">
        <f>0.9/0.75</f>
        <v>1.2</v>
      </c>
    </row>
    <row r="162" spans="1:25" ht="15" customHeight="1" x14ac:dyDescent="0.2">
      <c r="A162" s="118">
        <v>15.1</v>
      </c>
      <c r="B162" s="106">
        <v>10</v>
      </c>
      <c r="C162" s="121">
        <f t="shared" si="21"/>
        <v>201.14571428571432</v>
      </c>
      <c r="D162" s="121">
        <f t="shared" si="22"/>
        <v>182.19571428571433</v>
      </c>
      <c r="E162" s="118">
        <v>18.95</v>
      </c>
      <c r="F162" s="154">
        <f t="shared" si="23"/>
        <v>0.10400903267287137</v>
      </c>
      <c r="G162" s="378">
        <f t="shared" si="18"/>
        <v>15.1</v>
      </c>
      <c r="H162" s="379">
        <f t="shared" si="24"/>
        <v>3.8499999999999996</v>
      </c>
      <c r="J162" s="402">
        <f t="shared" si="25"/>
        <v>0.10400000000000001</v>
      </c>
      <c r="K162" s="150">
        <f t="shared" si="26"/>
        <v>-9.0326728713618909E-6</v>
      </c>
      <c r="M162" s="402">
        <f t="shared" si="27"/>
        <v>1.1040090326728713</v>
      </c>
      <c r="N162" s="145">
        <f t="shared" si="28"/>
        <v>201.14571428571432</v>
      </c>
      <c r="O162" s="287">
        <f t="shared" si="19"/>
        <v>0</v>
      </c>
      <c r="P162" s="288">
        <f t="shared" si="29"/>
        <v>0.99991315491896005</v>
      </c>
      <c r="Q162" s="288">
        <f t="shared" si="20"/>
        <v>18.948354285714291</v>
      </c>
      <c r="U162" s="152">
        <f t="shared" si="30"/>
        <v>0.10400903267287137</v>
      </c>
    </row>
    <row r="163" spans="1:25" ht="15" customHeight="1" x14ac:dyDescent="0.2">
      <c r="A163" s="118">
        <v>44</v>
      </c>
      <c r="B163" s="106">
        <v>20</v>
      </c>
      <c r="C163" s="121">
        <f t="shared" si="21"/>
        <v>350.54714285714289</v>
      </c>
      <c r="D163" s="121">
        <f t="shared" si="22"/>
        <v>304.81714285714287</v>
      </c>
      <c r="E163" s="118">
        <v>45.73</v>
      </c>
      <c r="F163" s="154">
        <f t="shared" si="23"/>
        <v>0.15002437058283186</v>
      </c>
      <c r="G163" s="378">
        <f t="shared" si="18"/>
        <v>44</v>
      </c>
      <c r="H163" s="379">
        <f t="shared" si="24"/>
        <v>1.7299999999999969</v>
      </c>
      <c r="J163" s="402">
        <f t="shared" si="25"/>
        <v>0.15</v>
      </c>
      <c r="K163" s="150">
        <f t="shared" si="26"/>
        <v>-2.4370582831861887E-5</v>
      </c>
      <c r="M163" s="402">
        <f t="shared" si="27"/>
        <v>1.1500243705828319</v>
      </c>
      <c r="N163" s="145">
        <f t="shared" si="28"/>
        <v>350.54714285714289</v>
      </c>
      <c r="O163" s="287">
        <f t="shared" si="19"/>
        <v>0</v>
      </c>
      <c r="P163" s="288">
        <f t="shared" si="29"/>
        <v>0.99983755584017997</v>
      </c>
      <c r="Q163" s="288">
        <f t="shared" si="20"/>
        <v>45.722571428571428</v>
      </c>
      <c r="U163" s="152">
        <f t="shared" si="30"/>
        <v>0.15002437058283186</v>
      </c>
    </row>
    <row r="164" spans="1:25" ht="15" customHeight="1" x14ac:dyDescent="0.2">
      <c r="A164" s="118">
        <v>63.1</v>
      </c>
      <c r="B164" s="106">
        <v>30</v>
      </c>
      <c r="C164" s="121">
        <f>D164+E164</f>
        <v>473.07428571428574</v>
      </c>
      <c r="D164" s="121">
        <f t="shared" si="22"/>
        <v>411.37428571428575</v>
      </c>
      <c r="E164" s="118">
        <v>61.7</v>
      </c>
      <c r="F164" s="154">
        <f t="shared" si="23"/>
        <v>0.14998506747418061</v>
      </c>
      <c r="G164" s="378">
        <f t="shared" si="18"/>
        <v>63.1</v>
      </c>
      <c r="H164" s="379">
        <f t="shared" si="24"/>
        <v>-1.3999999999999986</v>
      </c>
      <c r="J164" s="402">
        <f t="shared" si="25"/>
        <v>0.15</v>
      </c>
      <c r="K164" s="150">
        <f t="shared" si="26"/>
        <v>1.4932525819383313E-5</v>
      </c>
      <c r="M164" s="402">
        <f t="shared" si="27"/>
        <v>1.1499850674741805</v>
      </c>
      <c r="N164" s="145">
        <f t="shared" si="28"/>
        <v>473.07428571428568</v>
      </c>
      <c r="O164" s="287">
        <f t="shared" si="19"/>
        <v>0</v>
      </c>
      <c r="P164" s="288">
        <f t="shared" si="29"/>
        <v>1.0000995600833527</v>
      </c>
      <c r="Q164" s="288">
        <f t="shared" si="20"/>
        <v>61.706142857142865</v>
      </c>
      <c r="U164" s="152">
        <f t="shared" si="30"/>
        <v>0.14998506747418061</v>
      </c>
    </row>
    <row r="165" spans="1:25" ht="15" customHeight="1" x14ac:dyDescent="0.2">
      <c r="A165" s="118">
        <v>78.8</v>
      </c>
      <c r="B165" s="106">
        <v>40</v>
      </c>
      <c r="C165" s="121">
        <f t="shared" si="21"/>
        <v>584.56714285714281</v>
      </c>
      <c r="D165" s="121">
        <f t="shared" si="22"/>
        <v>508.31714285714281</v>
      </c>
      <c r="E165" s="118">
        <v>76.25</v>
      </c>
      <c r="F165" s="154">
        <f t="shared" si="23"/>
        <v>0.15000477766973375</v>
      </c>
      <c r="G165" s="378">
        <f t="shared" si="18"/>
        <v>78.8</v>
      </c>
      <c r="H165" s="379">
        <f t="shared" si="24"/>
        <v>-2.5499999999999972</v>
      </c>
      <c r="J165" s="402">
        <f t="shared" si="25"/>
        <v>0.15</v>
      </c>
      <c r="K165" s="150">
        <f t="shared" si="26"/>
        <v>-4.7776697337520435E-6</v>
      </c>
      <c r="M165" s="402">
        <f t="shared" si="27"/>
        <v>1.1500047776697337</v>
      </c>
      <c r="N165" s="145">
        <f t="shared" si="28"/>
        <v>584.56714285714281</v>
      </c>
      <c r="O165" s="287">
        <f t="shared" si="19"/>
        <v>0</v>
      </c>
      <c r="P165" s="288">
        <f t="shared" si="29"/>
        <v>0.99996814988290394</v>
      </c>
      <c r="Q165" s="288">
        <f t="shared" si="20"/>
        <v>76.247571428571419</v>
      </c>
      <c r="U165" s="152">
        <f t="shared" si="30"/>
        <v>0.15000477766973375</v>
      </c>
    </row>
    <row r="166" spans="1:25" ht="15" customHeight="1" x14ac:dyDescent="0.2">
      <c r="A166" s="118">
        <v>93.8</v>
      </c>
      <c r="B166" s="106">
        <v>50</v>
      </c>
      <c r="C166" s="120">
        <f t="shared" si="21"/>
        <v>692.39571428571423</v>
      </c>
      <c r="D166" s="120">
        <f t="shared" si="22"/>
        <v>602.09571428571428</v>
      </c>
      <c r="E166" s="118">
        <v>90.3</v>
      </c>
      <c r="F166" s="153">
        <f t="shared" si="23"/>
        <v>0.14997615471673939</v>
      </c>
      <c r="G166" s="380">
        <f t="shared" si="18"/>
        <v>93.8</v>
      </c>
      <c r="H166" s="381">
        <f t="shared" si="24"/>
        <v>-3.5</v>
      </c>
      <c r="J166" s="403">
        <f t="shared" si="25"/>
        <v>0.15</v>
      </c>
      <c r="K166" s="151">
        <f>J166-F166</f>
        <v>2.3845283260603978E-5</v>
      </c>
      <c r="M166" s="403">
        <f t="shared" si="27"/>
        <v>1.1499761547167393</v>
      </c>
      <c r="N166" s="146">
        <f t="shared" si="28"/>
        <v>692.39571428571423</v>
      </c>
      <c r="O166" s="287">
        <f t="shared" si="19"/>
        <v>0</v>
      </c>
      <c r="P166" s="288">
        <f t="shared" si="29"/>
        <v>1.0001589938300901</v>
      </c>
      <c r="Q166" s="290">
        <f t="shared" si="20"/>
        <v>90.314357142857133</v>
      </c>
      <c r="U166" s="152">
        <f t="shared" si="30"/>
        <v>0.14997615471673939</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c r="U182" t="s">
        <v>705</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t="s">
        <v>706</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U184" s="28" t="s">
        <v>707</v>
      </c>
    </row>
    <row r="185" spans="2:26" ht="15" customHeight="1" x14ac:dyDescent="0.2">
      <c r="B185" s="106">
        <v>1</v>
      </c>
      <c r="C185" s="119">
        <f>(D185-J185)</f>
        <v>37.567000000000007</v>
      </c>
      <c r="D185" s="698">
        <f>(F185+G185+M185+L185)+$E$179</f>
        <v>108.56700000000001</v>
      </c>
      <c r="E185" s="119">
        <f>F185+G185</f>
        <v>27.567000000000007</v>
      </c>
      <c r="F185" s="119">
        <f t="shared" ref="F185:G194" si="31">D157</f>
        <v>27.000000000000007</v>
      </c>
      <c r="G185" s="175">
        <f t="shared" si="31"/>
        <v>0.56699999999999995</v>
      </c>
      <c r="H185" s="155">
        <f>G185/F185</f>
        <v>2.0999999999999991E-2</v>
      </c>
      <c r="I185" s="119">
        <f>O185</f>
        <v>75</v>
      </c>
      <c r="J185" s="694">
        <v>71</v>
      </c>
      <c r="K185" s="690">
        <v>4</v>
      </c>
      <c r="L185" s="507">
        <f>P185</f>
        <v>6</v>
      </c>
      <c r="M185" s="497">
        <f>O185</f>
        <v>75</v>
      </c>
      <c r="N185" t="s">
        <v>34</v>
      </c>
      <c r="O185" s="417">
        <v>75</v>
      </c>
      <c r="P185" s="417">
        <v>6</v>
      </c>
      <c r="Q185" s="422">
        <v>109</v>
      </c>
      <c r="R185" s="432">
        <f>D185-Q185</f>
        <v>-0.43299999999999272</v>
      </c>
      <c r="S185" s="433">
        <f t="shared" ref="S185:S194" si="32">G185-G30</f>
        <v>-0.33300000000000007</v>
      </c>
      <c r="T185" s="420">
        <v>13.9</v>
      </c>
      <c r="U185">
        <v>6</v>
      </c>
      <c r="X185" s="106">
        <v>1</v>
      </c>
      <c r="Y185">
        <v>3.8</v>
      </c>
    </row>
    <row r="186" spans="2:26" ht="15" customHeight="1" x14ac:dyDescent="0.2">
      <c r="B186" s="106">
        <v>2</v>
      </c>
      <c r="C186" s="120">
        <f t="shared" ref="C186:C193" si="33">(D186-J186)</f>
        <v>68.514999999999986</v>
      </c>
      <c r="D186" s="699">
        <f t="shared" ref="D186:D193" si="34">(F186+G186+M186+L186)+$E$179</f>
        <v>139.51499999999999</v>
      </c>
      <c r="E186" s="120">
        <f t="shared" ref="E186:E191" si="35">F186+G186</f>
        <v>55.514999999999972</v>
      </c>
      <c r="F186" s="120">
        <f t="shared" si="31"/>
        <v>53.89999999999997</v>
      </c>
      <c r="G186" s="176">
        <f t="shared" si="31"/>
        <v>1.615</v>
      </c>
      <c r="H186" s="156">
        <f t="shared" ref="H186:H194" si="36">G186/F186</f>
        <v>2.9962894248608551E-2</v>
      </c>
      <c r="I186" s="120">
        <f t="shared" ref="I186:I194" si="37">O186</f>
        <v>75</v>
      </c>
      <c r="J186" s="695">
        <f>J185</f>
        <v>71</v>
      </c>
      <c r="K186" s="691">
        <v>4</v>
      </c>
      <c r="L186" s="507">
        <f t="shared" ref="L186:L194" si="38">P186</f>
        <v>9</v>
      </c>
      <c r="M186" s="497">
        <f t="shared" ref="M186:M194" si="39">O186</f>
        <v>75</v>
      </c>
      <c r="N186" t="s">
        <v>697</v>
      </c>
      <c r="O186" s="242">
        <v>75</v>
      </c>
      <c r="P186" s="419">
        <v>9</v>
      </c>
      <c r="Q186" s="423">
        <v>148</v>
      </c>
      <c r="R186" s="434">
        <f t="shared" ref="R186:R194" si="40">D186-Q186</f>
        <v>-8.4850000000000136</v>
      </c>
      <c r="S186" s="435">
        <f t="shared" si="32"/>
        <v>1.4999999999999902E-2</v>
      </c>
      <c r="U186">
        <v>9</v>
      </c>
      <c r="X186" s="106">
        <v>2</v>
      </c>
      <c r="Y186">
        <v>5.0999999999999996</v>
      </c>
    </row>
    <row r="187" spans="2:26" ht="15" customHeight="1" x14ac:dyDescent="0.2">
      <c r="B187" s="106">
        <v>3</v>
      </c>
      <c r="C187" s="121">
        <f t="shared" si="33"/>
        <v>93.139999999999986</v>
      </c>
      <c r="D187" s="700">
        <f>(F187+G187+M187+L187)+$E$179</f>
        <v>164.14</v>
      </c>
      <c r="E187" s="121">
        <f t="shared" si="35"/>
        <v>78.339999999999975</v>
      </c>
      <c r="F187" s="121">
        <f t="shared" si="31"/>
        <v>75.399999999999977</v>
      </c>
      <c r="G187" s="177">
        <f t="shared" si="31"/>
        <v>2.94</v>
      </c>
      <c r="H187" s="157">
        <f t="shared" si="36"/>
        <v>3.8992042440318314E-2</v>
      </c>
      <c r="I187" s="121">
        <f t="shared" si="37"/>
        <v>75</v>
      </c>
      <c r="J187" s="696">
        <f t="shared" ref="J187:J194" si="41">J186</f>
        <v>71</v>
      </c>
      <c r="K187" s="692">
        <v>4</v>
      </c>
      <c r="L187" s="507">
        <f t="shared" si="38"/>
        <v>10.8</v>
      </c>
      <c r="M187" s="497">
        <f t="shared" si="39"/>
        <v>75</v>
      </c>
      <c r="O187" s="243">
        <v>75</v>
      </c>
      <c r="P187" s="243">
        <v>10.8</v>
      </c>
      <c r="Q187" s="424">
        <v>172</v>
      </c>
      <c r="R187" s="436">
        <f t="shared" si="40"/>
        <v>-7.8600000000000136</v>
      </c>
      <c r="S187" s="437">
        <f t="shared" si="32"/>
        <v>0.33999999999999986</v>
      </c>
      <c r="U187">
        <v>10.8</v>
      </c>
      <c r="X187" s="106">
        <v>3</v>
      </c>
      <c r="Y187">
        <v>6.2</v>
      </c>
    </row>
    <row r="188" spans="2:26" ht="15" customHeight="1" x14ac:dyDescent="0.2">
      <c r="B188" s="106">
        <v>4</v>
      </c>
      <c r="C188" s="121">
        <f t="shared" si="33"/>
        <v>114.035</v>
      </c>
      <c r="D188" s="700">
        <f t="shared" si="34"/>
        <v>185.035</v>
      </c>
      <c r="E188" s="121">
        <f t="shared" si="35"/>
        <v>98.034999999999997</v>
      </c>
      <c r="F188" s="121">
        <f t="shared" si="31"/>
        <v>93.5</v>
      </c>
      <c r="G188" s="177">
        <f t="shared" si="31"/>
        <v>4.5350000000000001</v>
      </c>
      <c r="H188" s="157">
        <f t="shared" si="36"/>
        <v>4.8502673796791448E-2</v>
      </c>
      <c r="I188" s="121">
        <f t="shared" si="37"/>
        <v>75</v>
      </c>
      <c r="J188" s="696">
        <f t="shared" si="41"/>
        <v>71</v>
      </c>
      <c r="K188" s="692">
        <v>4</v>
      </c>
      <c r="L188" s="507">
        <f t="shared" si="38"/>
        <v>12</v>
      </c>
      <c r="M188" s="497">
        <f t="shared" si="39"/>
        <v>75</v>
      </c>
      <c r="O188" s="243">
        <v>75</v>
      </c>
      <c r="P188" s="243">
        <v>12</v>
      </c>
      <c r="Q188" s="424">
        <v>191</v>
      </c>
      <c r="R188" s="436">
        <f t="shared" si="40"/>
        <v>-5.9650000000000034</v>
      </c>
      <c r="S188" s="437">
        <f t="shared" si="32"/>
        <v>0.73500000000000032</v>
      </c>
      <c r="U188">
        <v>12</v>
      </c>
      <c r="X188" s="106">
        <v>4</v>
      </c>
      <c r="Y188">
        <v>7.1</v>
      </c>
    </row>
    <row r="189" spans="2:26" ht="15" customHeight="1" x14ac:dyDescent="0.2">
      <c r="B189" s="106">
        <v>5</v>
      </c>
      <c r="C189" s="120">
        <f t="shared" si="33"/>
        <v>133.09500000000003</v>
      </c>
      <c r="D189" s="699">
        <f t="shared" si="34"/>
        <v>204.09500000000003</v>
      </c>
      <c r="E189" s="120">
        <f t="shared" si="35"/>
        <v>116.59500000000001</v>
      </c>
      <c r="F189" s="120">
        <f t="shared" si="31"/>
        <v>110.20000000000002</v>
      </c>
      <c r="G189" s="176">
        <f t="shared" si="31"/>
        <v>6.3949999999999996</v>
      </c>
      <c r="H189" s="156">
        <f t="shared" si="36"/>
        <v>5.8030852994555342E-2</v>
      </c>
      <c r="I189" s="120">
        <f t="shared" si="37"/>
        <v>75</v>
      </c>
      <c r="J189" s="695">
        <f t="shared" si="41"/>
        <v>71</v>
      </c>
      <c r="K189" s="691">
        <v>4</v>
      </c>
      <c r="L189" s="507">
        <f t="shared" si="38"/>
        <v>12.5</v>
      </c>
      <c r="M189" s="497">
        <f t="shared" si="39"/>
        <v>75</v>
      </c>
      <c r="O189" s="242">
        <v>75</v>
      </c>
      <c r="P189" s="242">
        <v>12.5</v>
      </c>
      <c r="Q189" s="423">
        <v>209</v>
      </c>
      <c r="R189" s="434">
        <f t="shared" si="40"/>
        <v>-4.9049999999999727</v>
      </c>
      <c r="S189" s="435">
        <f t="shared" si="32"/>
        <v>1.2949999999999999</v>
      </c>
      <c r="U189">
        <v>12.5</v>
      </c>
      <c r="X189" s="106">
        <v>5</v>
      </c>
      <c r="Y189">
        <v>8</v>
      </c>
    </row>
    <row r="190" spans="2:26" ht="15" customHeight="1" x14ac:dyDescent="0.2">
      <c r="B190" s="106">
        <v>10</v>
      </c>
      <c r="C190" s="121">
        <f t="shared" si="33"/>
        <v>218.74571428571437</v>
      </c>
      <c r="D190" s="700">
        <f t="shared" si="34"/>
        <v>289.74571428571437</v>
      </c>
      <c r="E190" s="121">
        <f t="shared" si="35"/>
        <v>201.14571428571432</v>
      </c>
      <c r="F190" s="121">
        <f t="shared" si="31"/>
        <v>182.19571428571433</v>
      </c>
      <c r="G190" s="177">
        <f t="shared" si="31"/>
        <v>18.95</v>
      </c>
      <c r="H190" s="157">
        <f t="shared" si="36"/>
        <v>0.10400903267287137</v>
      </c>
      <c r="I190" s="121">
        <f t="shared" si="37"/>
        <v>75</v>
      </c>
      <c r="J190" s="696">
        <f t="shared" si="41"/>
        <v>71</v>
      </c>
      <c r="K190" s="692">
        <v>4</v>
      </c>
      <c r="L190" s="507">
        <f t="shared" si="38"/>
        <v>13.6</v>
      </c>
      <c r="M190" s="497">
        <f t="shared" si="39"/>
        <v>75</v>
      </c>
      <c r="O190" s="243">
        <v>75</v>
      </c>
      <c r="P190" s="243">
        <v>13.6</v>
      </c>
      <c r="Q190" s="424">
        <v>287</v>
      </c>
      <c r="R190" s="436">
        <f t="shared" si="40"/>
        <v>2.7457142857143708</v>
      </c>
      <c r="S190" s="437">
        <f t="shared" si="32"/>
        <v>3.8499999999999996</v>
      </c>
      <c r="U190">
        <v>13.6</v>
      </c>
      <c r="X190" s="106">
        <v>10</v>
      </c>
      <c r="Y190">
        <v>10.199999999999999</v>
      </c>
    </row>
    <row r="191" spans="2:26" ht="15" customHeight="1" x14ac:dyDescent="0.2">
      <c r="B191" s="106">
        <v>20</v>
      </c>
      <c r="C191" s="121">
        <f t="shared" si="33"/>
        <v>369.14714285714291</v>
      </c>
      <c r="D191" s="700">
        <f t="shared" si="34"/>
        <v>440.14714285714291</v>
      </c>
      <c r="E191" s="121">
        <f t="shared" si="35"/>
        <v>350.54714285714289</v>
      </c>
      <c r="F191" s="121">
        <f t="shared" si="31"/>
        <v>304.81714285714287</v>
      </c>
      <c r="G191" s="177">
        <f t="shared" si="31"/>
        <v>45.73</v>
      </c>
      <c r="H191" s="157">
        <f t="shared" si="36"/>
        <v>0.15002437058283186</v>
      </c>
      <c r="I191" s="121">
        <f t="shared" si="37"/>
        <v>75</v>
      </c>
      <c r="J191" s="696">
        <f t="shared" si="41"/>
        <v>71</v>
      </c>
      <c r="K191" s="692">
        <v>4</v>
      </c>
      <c r="L191" s="507">
        <f t="shared" si="38"/>
        <v>14.6</v>
      </c>
      <c r="M191" s="497">
        <f t="shared" si="39"/>
        <v>75</v>
      </c>
      <c r="O191" s="243">
        <v>75</v>
      </c>
      <c r="P191" s="243">
        <v>14.6</v>
      </c>
      <c r="Q191" s="424">
        <v>439</v>
      </c>
      <c r="R191" s="436">
        <f t="shared" si="40"/>
        <v>1.1471428571429101</v>
      </c>
      <c r="S191" s="437">
        <f t="shared" si="32"/>
        <v>1.7299999999999969</v>
      </c>
      <c r="U191">
        <v>14.6</v>
      </c>
      <c r="X191" s="106">
        <v>20</v>
      </c>
      <c r="Y191">
        <v>11.8</v>
      </c>
    </row>
    <row r="192" spans="2:26" ht="15" customHeight="1" x14ac:dyDescent="0.2">
      <c r="B192" s="106">
        <v>30</v>
      </c>
      <c r="C192" s="121">
        <f t="shared" si="33"/>
        <v>492.1742857142857</v>
      </c>
      <c r="D192" s="700">
        <f t="shared" si="34"/>
        <v>563.1742857142857</v>
      </c>
      <c r="E192" s="121">
        <f>F192+G192</f>
        <v>473.07428571428574</v>
      </c>
      <c r="F192" s="121">
        <f t="shared" si="31"/>
        <v>411.37428571428575</v>
      </c>
      <c r="G192" s="177">
        <f t="shared" si="31"/>
        <v>61.7</v>
      </c>
      <c r="H192" s="157">
        <f t="shared" si="36"/>
        <v>0.14998506747418061</v>
      </c>
      <c r="I192" s="121">
        <f t="shared" si="37"/>
        <v>75</v>
      </c>
      <c r="J192" s="696">
        <f t="shared" si="41"/>
        <v>71</v>
      </c>
      <c r="K192" s="692">
        <v>4</v>
      </c>
      <c r="L192" s="507">
        <f t="shared" si="38"/>
        <v>15.1</v>
      </c>
      <c r="M192" s="497">
        <f t="shared" si="39"/>
        <v>75</v>
      </c>
      <c r="O192" s="243">
        <v>75</v>
      </c>
      <c r="P192" s="243">
        <v>15.1</v>
      </c>
      <c r="Q192" s="424">
        <v>562</v>
      </c>
      <c r="R192" s="436">
        <f t="shared" si="40"/>
        <v>1.1742857142857019</v>
      </c>
      <c r="S192" s="437">
        <f t="shared" si="32"/>
        <v>-1.3999999999999986</v>
      </c>
      <c r="U192">
        <v>15.1</v>
      </c>
      <c r="X192" s="106">
        <v>30</v>
      </c>
      <c r="Y192">
        <v>12.4</v>
      </c>
    </row>
    <row r="193" spans="1:25" ht="15" customHeight="1" x14ac:dyDescent="0.2">
      <c r="B193" s="106">
        <v>40</v>
      </c>
      <c r="C193" s="121">
        <f t="shared" si="33"/>
        <v>605.06714285714281</v>
      </c>
      <c r="D193" s="700">
        <f t="shared" si="34"/>
        <v>676.06714285714281</v>
      </c>
      <c r="E193" s="121">
        <f t="shared" ref="E193:E194" si="42">F193+G193</f>
        <v>584.56714285714281</v>
      </c>
      <c r="F193" s="121">
        <f t="shared" si="31"/>
        <v>508.31714285714281</v>
      </c>
      <c r="G193" s="177">
        <f t="shared" si="31"/>
        <v>76.25</v>
      </c>
      <c r="H193" s="157">
        <f t="shared" si="36"/>
        <v>0.15000477766973375</v>
      </c>
      <c r="I193" s="121">
        <f t="shared" si="37"/>
        <v>76</v>
      </c>
      <c r="J193" s="696">
        <f t="shared" si="41"/>
        <v>71</v>
      </c>
      <c r="K193" s="692">
        <v>4</v>
      </c>
      <c r="L193" s="507">
        <f t="shared" si="38"/>
        <v>15.5</v>
      </c>
      <c r="M193" s="497">
        <f t="shared" si="39"/>
        <v>76</v>
      </c>
      <c r="O193" s="243">
        <v>76</v>
      </c>
      <c r="P193" s="243">
        <v>15.5</v>
      </c>
      <c r="Q193" s="424">
        <v>675</v>
      </c>
      <c r="R193" s="436">
        <f t="shared" si="40"/>
        <v>1.0671428571428123</v>
      </c>
      <c r="S193" s="437">
        <f t="shared" si="32"/>
        <v>-2.5499999999999972</v>
      </c>
      <c r="U193">
        <v>15.5</v>
      </c>
      <c r="X193" s="106">
        <v>40</v>
      </c>
      <c r="Y193">
        <v>12.9</v>
      </c>
    </row>
    <row r="194" spans="1:25" ht="15" customHeight="1" thickBot="1" x14ac:dyDescent="0.25">
      <c r="B194" s="106">
        <v>50</v>
      </c>
      <c r="C194" s="120">
        <f>(D194-J194)</f>
        <v>714.19571428571419</v>
      </c>
      <c r="D194" s="701">
        <f>(F194+G194+M194+L194)+$E$179</f>
        <v>785.19571428571419</v>
      </c>
      <c r="E194" s="120">
        <f t="shared" si="42"/>
        <v>692.39571428571423</v>
      </c>
      <c r="F194" s="120">
        <f t="shared" si="31"/>
        <v>602.09571428571428</v>
      </c>
      <c r="G194" s="176">
        <f t="shared" si="31"/>
        <v>90.3</v>
      </c>
      <c r="H194" s="156">
        <f t="shared" si="36"/>
        <v>0.14997615471673939</v>
      </c>
      <c r="I194" s="120">
        <f t="shared" si="37"/>
        <v>77</v>
      </c>
      <c r="J194" s="697">
        <f t="shared" si="41"/>
        <v>71</v>
      </c>
      <c r="K194" s="693">
        <v>4</v>
      </c>
      <c r="L194" s="507">
        <f t="shared" si="38"/>
        <v>15.8</v>
      </c>
      <c r="M194" s="497">
        <f t="shared" si="39"/>
        <v>77</v>
      </c>
      <c r="O194" s="554">
        <v>77</v>
      </c>
      <c r="P194" s="242">
        <v>15.8</v>
      </c>
      <c r="Q194" s="423">
        <v>786</v>
      </c>
      <c r="R194" s="438">
        <f t="shared" si="40"/>
        <v>-0.80428571428581108</v>
      </c>
      <c r="S194" s="439">
        <f t="shared" si="32"/>
        <v>-3.5</v>
      </c>
      <c r="U194">
        <v>15.8</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0.99760403646189244</v>
      </c>
      <c r="G205" s="122">
        <v>1.1868524838565966</v>
      </c>
      <c r="H205" s="34">
        <f>(D206*2.20462*25.4*12)</f>
        <v>3057.4552007999996</v>
      </c>
      <c r="I205" s="5">
        <f>F205*D$205*SQRT(4*D$207*H$205/32.2)/12</f>
        <v>37.567000000000014</v>
      </c>
      <c r="J205" s="1"/>
      <c r="K205" s="22"/>
      <c r="L205" s="96">
        <v>1</v>
      </c>
      <c r="M205" s="92">
        <f>L205*I205</f>
        <v>37.567000000000014</v>
      </c>
      <c r="N205" s="13"/>
      <c r="O205" s="84">
        <v>1</v>
      </c>
      <c r="P205" s="92">
        <f>C185</f>
        <v>37.567000000000007</v>
      </c>
      <c r="Q205" s="254">
        <f>P205/M205</f>
        <v>0.99999999999999978</v>
      </c>
      <c r="R205" s="254">
        <f>G205*Q205</f>
        <v>1.1868524838565964</v>
      </c>
      <c r="S205" s="267" t="s">
        <v>138</v>
      </c>
    </row>
    <row r="206" spans="1:25" ht="15" customHeight="1" x14ac:dyDescent="0.2">
      <c r="B206" s="259" t="s">
        <v>7</v>
      </c>
      <c r="C206" s="12" t="s">
        <v>10</v>
      </c>
      <c r="D206" s="444">
        <v>4.55</v>
      </c>
      <c r="E206" s="255">
        <v>2</v>
      </c>
      <c r="F206" s="250">
        <v>0.90971917584830464</v>
      </c>
      <c r="G206" s="123">
        <v>1.0695253508573637</v>
      </c>
      <c r="H206" s="35"/>
      <c r="I206" s="5">
        <f>F206*D$205*SQRT(4*D$207*H$205/32.2)/12</f>
        <v>34.257499999999986</v>
      </c>
      <c r="J206" s="1"/>
      <c r="K206" s="22"/>
      <c r="L206" s="97">
        <v>2</v>
      </c>
      <c r="M206" s="93">
        <f>L206*I206</f>
        <v>68.514999999999972</v>
      </c>
      <c r="N206" s="13"/>
      <c r="O206" s="84">
        <v>2</v>
      </c>
      <c r="P206" s="93">
        <f t="shared" ref="P206:P214" si="43">C186</f>
        <v>68.514999999999986</v>
      </c>
      <c r="Q206" s="254">
        <f t="shared" ref="Q206:Q214" si="44">P206/M206</f>
        <v>1.0000000000000002</v>
      </c>
      <c r="R206" s="254">
        <f t="shared" ref="R206:R214" si="45">G206*Q206</f>
        <v>1.0695253508573639</v>
      </c>
      <c r="S206" s="267" t="s">
        <v>139</v>
      </c>
    </row>
    <row r="207" spans="1:25" ht="15" customHeight="1" x14ac:dyDescent="0.2">
      <c r="B207" s="261" t="s">
        <v>8</v>
      </c>
      <c r="C207" s="262" t="s">
        <v>15</v>
      </c>
      <c r="D207" s="263">
        <v>85</v>
      </c>
      <c r="E207" s="255">
        <v>3</v>
      </c>
      <c r="F207" s="249">
        <v>0.8244544410081599</v>
      </c>
      <c r="G207" s="122">
        <v>0.9437890304095834</v>
      </c>
      <c r="H207" s="35"/>
      <c r="I207" s="5">
        <f t="shared" ref="I207:I214" si="46">F207*D$205*SQRT(4*D$207*H$205/32.2)/12</f>
        <v>31.046666666666667</v>
      </c>
      <c r="J207" s="1"/>
      <c r="K207" s="22"/>
      <c r="L207" s="98">
        <v>3</v>
      </c>
      <c r="M207" s="94">
        <f t="shared" ref="M207:M213" si="47">L207*I207</f>
        <v>93.14</v>
      </c>
      <c r="N207" s="13"/>
      <c r="O207" s="84">
        <v>3</v>
      </c>
      <c r="P207" s="94">
        <f t="shared" si="43"/>
        <v>93.139999999999986</v>
      </c>
      <c r="Q207" s="254">
        <f t="shared" si="44"/>
        <v>0.99999999999999989</v>
      </c>
      <c r="R207" s="254">
        <f t="shared" si="45"/>
        <v>0.94378903040958328</v>
      </c>
    </row>
    <row r="208" spans="1:25" ht="15" customHeight="1" x14ac:dyDescent="0.2">
      <c r="E208" s="30">
        <v>4</v>
      </c>
      <c r="F208" s="249">
        <v>0.75705922949617932</v>
      </c>
      <c r="G208" s="122">
        <v>0.84117797544530981</v>
      </c>
      <c r="H208" s="35"/>
      <c r="I208" s="5">
        <f t="shared" si="46"/>
        <v>28.508750000000003</v>
      </c>
      <c r="J208" s="1"/>
      <c r="K208" s="22"/>
      <c r="L208" s="98">
        <v>4</v>
      </c>
      <c r="M208" s="94">
        <f t="shared" si="47"/>
        <v>114.03500000000001</v>
      </c>
      <c r="N208" s="13"/>
      <c r="O208" s="84">
        <v>4</v>
      </c>
      <c r="P208" s="94">
        <f t="shared" si="43"/>
        <v>114.035</v>
      </c>
      <c r="Q208" s="254">
        <f t="shared" si="44"/>
        <v>0.99999999999999989</v>
      </c>
      <c r="R208" s="254">
        <f t="shared" si="45"/>
        <v>0.8411779754453097</v>
      </c>
    </row>
    <row r="209" spans="1:19" ht="15" customHeight="1" x14ac:dyDescent="0.2">
      <c r="B209" s="268" t="s">
        <v>132</v>
      </c>
      <c r="E209" s="30">
        <v>5</v>
      </c>
      <c r="F209" s="250">
        <v>0.70687629692493703</v>
      </c>
      <c r="G209" s="123">
        <v>0.764626549795273</v>
      </c>
      <c r="H209" s="35"/>
      <c r="I209" s="5">
        <f t="shared" si="46"/>
        <v>26.619000000000003</v>
      </c>
      <c r="J209" s="1"/>
      <c r="K209" s="22"/>
      <c r="L209" s="97">
        <v>5</v>
      </c>
      <c r="M209" s="93">
        <f t="shared" si="47"/>
        <v>133.09500000000003</v>
      </c>
      <c r="N209" s="13"/>
      <c r="O209" s="84">
        <v>5</v>
      </c>
      <c r="P209" s="93">
        <f t="shared" si="43"/>
        <v>133.09500000000003</v>
      </c>
      <c r="Q209" s="254">
        <f t="shared" si="44"/>
        <v>1</v>
      </c>
      <c r="R209" s="254">
        <f t="shared" si="45"/>
        <v>0.764626549795273</v>
      </c>
    </row>
    <row r="210" spans="1:19" ht="15" customHeight="1" x14ac:dyDescent="0.2">
      <c r="B210" s="42" t="s">
        <v>131</v>
      </c>
      <c r="E210" s="30">
        <v>10</v>
      </c>
      <c r="F210" s="249">
        <v>0.58088643631423431</v>
      </c>
      <c r="G210" s="122">
        <v>0.59452449445447331</v>
      </c>
      <c r="H210" s="35"/>
      <c r="I210" s="5">
        <f t="shared" si="46"/>
        <v>21.874571428571432</v>
      </c>
      <c r="J210" s="1"/>
      <c r="K210" s="22"/>
      <c r="L210" s="98">
        <v>10</v>
      </c>
      <c r="M210" s="94">
        <f t="shared" si="47"/>
        <v>218.74571428571431</v>
      </c>
      <c r="N210" s="13"/>
      <c r="O210" s="84">
        <v>10</v>
      </c>
      <c r="P210" s="94">
        <f t="shared" si="43"/>
        <v>218.74571428571437</v>
      </c>
      <c r="Q210" s="254">
        <f t="shared" si="44"/>
        <v>1.0000000000000002</v>
      </c>
      <c r="R210" s="254">
        <f t="shared" si="45"/>
        <v>0.59452449445447342</v>
      </c>
    </row>
    <row r="211" spans="1:19" ht="15" customHeight="1" x14ac:dyDescent="0.2">
      <c r="E211" s="30">
        <v>20</v>
      </c>
      <c r="F211" s="249">
        <v>0.49014118742867469</v>
      </c>
      <c r="G211" s="122">
        <v>0.49490407532716435</v>
      </c>
      <c r="H211" s="35"/>
      <c r="I211" s="5">
        <f t="shared" si="46"/>
        <v>18.457357142857141</v>
      </c>
      <c r="J211" s="1"/>
      <c r="K211" s="22"/>
      <c r="L211" s="98">
        <v>20</v>
      </c>
      <c r="M211" s="94">
        <f t="shared" si="47"/>
        <v>369.14714285714285</v>
      </c>
      <c r="N211" s="13"/>
      <c r="O211" s="84">
        <v>20</v>
      </c>
      <c r="P211" s="94">
        <f t="shared" si="43"/>
        <v>369.14714285714291</v>
      </c>
      <c r="Q211" s="254">
        <f t="shared" si="44"/>
        <v>1.0000000000000002</v>
      </c>
      <c r="R211" s="254">
        <f t="shared" si="45"/>
        <v>0.49490407532716446</v>
      </c>
    </row>
    <row r="212" spans="1:19" ht="15" customHeight="1" x14ac:dyDescent="0.2">
      <c r="E212" s="30">
        <v>30</v>
      </c>
      <c r="F212" s="249">
        <v>0.43566166588701072</v>
      </c>
      <c r="G212" s="122">
        <v>0.43674537620932741</v>
      </c>
      <c r="H212" s="35"/>
      <c r="I212" s="5">
        <f t="shared" si="46"/>
        <v>16.405809523809523</v>
      </c>
      <c r="J212" s="1"/>
      <c r="K212" s="22"/>
      <c r="L212" s="98">
        <v>30</v>
      </c>
      <c r="M212" s="94">
        <f>L212*I212</f>
        <v>492.1742857142857</v>
      </c>
      <c r="N212" s="13"/>
      <c r="O212" s="84">
        <v>30</v>
      </c>
      <c r="P212" s="94">
        <f t="shared" si="43"/>
        <v>492.1742857142857</v>
      </c>
      <c r="Q212" s="254">
        <f t="shared" si="44"/>
        <v>1</v>
      </c>
      <c r="R212" s="254">
        <f t="shared" si="45"/>
        <v>0.43674537620932741</v>
      </c>
    </row>
    <row r="213" spans="1:19" ht="15" customHeight="1" x14ac:dyDescent="0.2">
      <c r="E213" s="30">
        <v>40</v>
      </c>
      <c r="F213" s="249">
        <v>0.40169392288760747</v>
      </c>
      <c r="G213" s="122">
        <v>0.40140655629397104</v>
      </c>
      <c r="H213" s="35"/>
      <c r="I213" s="5">
        <f t="shared" si="46"/>
        <v>15.12667857142857</v>
      </c>
      <c r="J213" s="1"/>
      <c r="K213" s="22"/>
      <c r="L213" s="98">
        <v>40</v>
      </c>
      <c r="M213" s="94">
        <f t="shared" si="47"/>
        <v>605.06714285714281</v>
      </c>
      <c r="N213" s="13"/>
      <c r="O213" s="84">
        <v>40</v>
      </c>
      <c r="P213" s="126">
        <f t="shared" si="43"/>
        <v>605.06714285714281</v>
      </c>
      <c r="Q213" s="254">
        <f t="shared" si="44"/>
        <v>1</v>
      </c>
      <c r="R213" s="254">
        <f t="shared" si="45"/>
        <v>0.40140655629397104</v>
      </c>
    </row>
    <row r="214" spans="1:19" ht="15" customHeight="1" x14ac:dyDescent="0.2">
      <c r="E214" s="30">
        <v>50</v>
      </c>
      <c r="F214" s="250">
        <v>0.37931404019230319</v>
      </c>
      <c r="G214" s="123">
        <v>0.37923209803490981</v>
      </c>
      <c r="H214" s="36"/>
      <c r="I214" s="23">
        <f t="shared" si="46"/>
        <v>14.283914285714284</v>
      </c>
      <c r="J214" s="24"/>
      <c r="K214" s="17"/>
      <c r="L214" s="99">
        <v>50</v>
      </c>
      <c r="M214" s="100">
        <f>L214*I214</f>
        <v>714.19571428571419</v>
      </c>
      <c r="N214" s="16"/>
      <c r="O214" s="107">
        <v>50</v>
      </c>
      <c r="P214" s="127">
        <f t="shared" si="43"/>
        <v>714.19571428571419</v>
      </c>
      <c r="Q214" s="254">
        <f t="shared" si="44"/>
        <v>1</v>
      </c>
      <c r="R214" s="254">
        <f t="shared" si="45"/>
        <v>0.37923209803490981</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27.000000000000007</v>
      </c>
      <c r="G227" s="46">
        <f>F227/E227</f>
        <v>27.000000000000007</v>
      </c>
      <c r="H227" s="178">
        <f t="shared" ref="H227:H236" si="49">SQRT(12*32.2*G227^2/(4*$B$228*($B$227*56)*$B$226^2))</f>
        <v>0.71697689960023969</v>
      </c>
      <c r="I227" s="718"/>
      <c r="J227" s="178">
        <v>0.71697689960023969</v>
      </c>
      <c r="K227" s="544">
        <v>1</v>
      </c>
      <c r="L227" s="549">
        <f>J227*$L$225</f>
        <v>0.71697689960023969</v>
      </c>
      <c r="M227" s="5">
        <f>(B227*2.20462*25.4*12)</f>
        <v>3057.4552007999996</v>
      </c>
      <c r="N227" s="74">
        <f t="shared" ref="N227:N236" si="50">L227*B$226*SQRT(4*B$228*M$227/32.2)/12</f>
        <v>26.999360671002151</v>
      </c>
      <c r="O227" s="597">
        <f>K227*N227</f>
        <v>26.999360671002151</v>
      </c>
      <c r="P227" s="591">
        <f t="shared" ref="P227:P236" si="51">M157</f>
        <v>1.0209999999999999</v>
      </c>
      <c r="Q227" s="60">
        <f>P227*O227</f>
        <v>27.566347245093194</v>
      </c>
      <c r="R227" s="166">
        <f>Q227-O227</f>
        <v>0.56698657409104314</v>
      </c>
      <c r="S227" s="169">
        <f>R227/O227</f>
        <v>2.0999999999999925E-2</v>
      </c>
    </row>
    <row r="228" spans="2:19" ht="15" customHeight="1" x14ac:dyDescent="0.2">
      <c r="B228" s="271">
        <f t="shared" si="48"/>
        <v>85</v>
      </c>
      <c r="C228" s="77" t="s">
        <v>1</v>
      </c>
      <c r="D228" s="17"/>
      <c r="E228" s="70">
        <v>2</v>
      </c>
      <c r="F228" s="54">
        <f t="shared" ref="F228:F236" si="52">F186</f>
        <v>53.89999999999997</v>
      </c>
      <c r="G228" s="45">
        <f t="shared" ref="G228:G236" si="53">F228/E228</f>
        <v>26.949999999999985</v>
      </c>
      <c r="H228" s="179">
        <f t="shared" si="49"/>
        <v>0.71564916460097938</v>
      </c>
      <c r="I228" s="718"/>
      <c r="J228" s="179">
        <v>0.71564916460097938</v>
      </c>
      <c r="K228" s="545">
        <v>2</v>
      </c>
      <c r="L228" s="550">
        <f t="shared" ref="L228:L236" si="54">J228*$L$225</f>
        <v>0.71564916460097938</v>
      </c>
      <c r="N228" s="73">
        <f t="shared" si="50"/>
        <v>26.949361854944716</v>
      </c>
      <c r="O228" s="598">
        <f t="shared" ref="O228:O235" si="55">K228*N228</f>
        <v>53.898723709889431</v>
      </c>
      <c r="P228" s="591">
        <f t="shared" si="51"/>
        <v>1.0299628942486085</v>
      </c>
      <c r="Q228" s="59">
        <f t="shared" ref="Q228:Q236" si="56">P228*O228</f>
        <v>55.513685468543819</v>
      </c>
      <c r="R228" s="167">
        <f t="shared" ref="R228:R236" si="57">Q228-O228</f>
        <v>1.6149617586543883</v>
      </c>
      <c r="S228" s="170">
        <f t="shared" ref="S228:S236" si="58">R228/O228</f>
        <v>2.9962894248608568E-2</v>
      </c>
    </row>
    <row r="229" spans="2:19" ht="15" customHeight="1" x14ac:dyDescent="0.2">
      <c r="E229" s="69">
        <v>3</v>
      </c>
      <c r="F229" s="50">
        <f t="shared" si="52"/>
        <v>75.399999999999977</v>
      </c>
      <c r="G229" s="44">
        <f t="shared" si="53"/>
        <v>25.133333333333326</v>
      </c>
      <c r="H229" s="180">
        <f t="shared" si="49"/>
        <v>0.66740812629454371</v>
      </c>
      <c r="I229" s="718"/>
      <c r="J229" s="180">
        <v>0.66740812629454371</v>
      </c>
      <c r="K229" s="546">
        <v>3</v>
      </c>
      <c r="L229" s="551">
        <f t="shared" si="54"/>
        <v>0.66740812629454371</v>
      </c>
      <c r="N229" s="72">
        <f t="shared" si="50"/>
        <v>25.132738204858779</v>
      </c>
      <c r="O229" s="599">
        <f>K229*N229</f>
        <v>75.398214614576332</v>
      </c>
      <c r="P229" s="591">
        <f t="shared" si="51"/>
        <v>1.0389920424403183</v>
      </c>
      <c r="Q229" s="58">
        <f t="shared" si="56"/>
        <v>78.338144998752114</v>
      </c>
      <c r="R229" s="168">
        <f>Q229-O229</f>
        <v>2.9399303841757813</v>
      </c>
      <c r="S229" s="171">
        <f t="shared" si="58"/>
        <v>3.8992042440318217E-2</v>
      </c>
    </row>
    <row r="230" spans="2:19" ht="15" customHeight="1" x14ac:dyDescent="0.2">
      <c r="E230" s="69">
        <v>4</v>
      </c>
      <c r="F230" s="50">
        <f t="shared" si="52"/>
        <v>93.5</v>
      </c>
      <c r="G230" s="44">
        <f t="shared" si="53"/>
        <v>23.375</v>
      </c>
      <c r="H230" s="180">
        <f t="shared" si="49"/>
        <v>0.62071611215391109</v>
      </c>
      <c r="I230" s="718"/>
      <c r="J230" s="180">
        <v>0.62071611215391109</v>
      </c>
      <c r="K230" s="546">
        <v>4</v>
      </c>
      <c r="L230" s="551">
        <f t="shared" si="54"/>
        <v>0.62071611215391109</v>
      </c>
      <c r="N230" s="72">
        <f t="shared" si="50"/>
        <v>23.374446506839821</v>
      </c>
      <c r="O230" s="599">
        <f t="shared" si="55"/>
        <v>93.497786027359282</v>
      </c>
      <c r="P230" s="591">
        <f t="shared" si="51"/>
        <v>1.0485026737967915</v>
      </c>
      <c r="Q230" s="58">
        <f t="shared" si="56"/>
        <v>98.032678643766502</v>
      </c>
      <c r="R230" s="168">
        <f>Q230-O230</f>
        <v>4.5348926164072196</v>
      </c>
      <c r="S230" s="171">
        <f t="shared" si="58"/>
        <v>4.8502673796791525E-2</v>
      </c>
    </row>
    <row r="231" spans="2:19" ht="15" customHeight="1" x14ac:dyDescent="0.2">
      <c r="E231" s="70">
        <v>5</v>
      </c>
      <c r="F231" s="54">
        <f t="shared" si="52"/>
        <v>110.20000000000002</v>
      </c>
      <c r="G231" s="45">
        <f t="shared" si="53"/>
        <v>22.040000000000003</v>
      </c>
      <c r="H231" s="179">
        <f t="shared" si="49"/>
        <v>0.58526558767367709</v>
      </c>
      <c r="I231" s="718"/>
      <c r="J231" s="179">
        <v>0.58526558767367709</v>
      </c>
      <c r="K231" s="545">
        <v>5</v>
      </c>
      <c r="L231" s="550">
        <f t="shared" si="54"/>
        <v>0.58526558767367709</v>
      </c>
      <c r="N231" s="73">
        <f t="shared" si="50"/>
        <v>22.039478118106938</v>
      </c>
      <c r="O231" s="598">
        <f t="shared" si="55"/>
        <v>110.1973905905347</v>
      </c>
      <c r="P231" s="591">
        <f t="shared" si="51"/>
        <v>1.0580308529945552</v>
      </c>
      <c r="Q231" s="59">
        <f t="shared" si="56"/>
        <v>116.5922391642776</v>
      </c>
      <c r="R231" s="167">
        <f t="shared" si="57"/>
        <v>6.3948485737429053</v>
      </c>
      <c r="S231" s="170">
        <f t="shared" si="58"/>
        <v>5.8030852994555251E-2</v>
      </c>
    </row>
    <row r="232" spans="2:19" ht="15" customHeight="1" x14ac:dyDescent="0.2">
      <c r="E232" s="69">
        <v>10</v>
      </c>
      <c r="F232" s="50">
        <f t="shared" si="52"/>
        <v>182.19571428571433</v>
      </c>
      <c r="G232" s="44">
        <f t="shared" si="53"/>
        <v>18.219571428571435</v>
      </c>
      <c r="H232" s="180">
        <f t="shared" si="49"/>
        <v>0.48381525314452789</v>
      </c>
      <c r="I232" s="718"/>
      <c r="J232" s="180">
        <v>0.48381525314452789</v>
      </c>
      <c r="K232" s="547">
        <v>10</v>
      </c>
      <c r="L232" s="551">
        <f t="shared" si="54"/>
        <v>0.48381525314452789</v>
      </c>
      <c r="M232" s="41"/>
      <c r="N232" s="76">
        <f t="shared" si="50"/>
        <v>18.219140010040217</v>
      </c>
      <c r="O232" s="600">
        <f t="shared" si="55"/>
        <v>182.19140010040218</v>
      </c>
      <c r="P232" s="591">
        <f t="shared" si="51"/>
        <v>1.1040090326728713</v>
      </c>
      <c r="Q232" s="58">
        <f t="shared" si="56"/>
        <v>201.14095138616108</v>
      </c>
      <c r="R232" s="168">
        <f t="shared" si="57"/>
        <v>18.949551285758901</v>
      </c>
      <c r="S232" s="171">
        <f t="shared" si="58"/>
        <v>0.10400903267287132</v>
      </c>
    </row>
    <row r="233" spans="2:19" ht="15" customHeight="1" x14ac:dyDescent="0.2">
      <c r="E233" s="69">
        <v>20</v>
      </c>
      <c r="F233" s="50">
        <f t="shared" si="52"/>
        <v>304.81714285714287</v>
      </c>
      <c r="G233" s="44">
        <f t="shared" si="53"/>
        <v>15.240857142857143</v>
      </c>
      <c r="H233" s="180">
        <f t="shared" si="49"/>
        <v>0.40471638894577328</v>
      </c>
      <c r="I233" s="718"/>
      <c r="J233" s="180">
        <v>0.40471638894577328</v>
      </c>
      <c r="K233" s="546">
        <v>20</v>
      </c>
      <c r="L233" s="551">
        <f t="shared" si="54"/>
        <v>0.40471638894577328</v>
      </c>
      <c r="N233" s="72">
        <f t="shared" si="50"/>
        <v>15.24049625685997</v>
      </c>
      <c r="O233" s="599">
        <f t="shared" si="55"/>
        <v>304.8099251371994</v>
      </c>
      <c r="P233" s="591">
        <f t="shared" si="51"/>
        <v>1.1500243705828319</v>
      </c>
      <c r="Q233" s="58">
        <f t="shared" si="56"/>
        <v>350.53884230330783</v>
      </c>
      <c r="R233" s="168">
        <f t="shared" si="57"/>
        <v>45.728917166108431</v>
      </c>
      <c r="S233" s="171">
        <f t="shared" si="58"/>
        <v>0.15002437058283183</v>
      </c>
    </row>
    <row r="234" spans="2:19" ht="15" customHeight="1" x14ac:dyDescent="0.2">
      <c r="E234" s="69">
        <v>30</v>
      </c>
      <c r="F234" s="50">
        <f t="shared" si="52"/>
        <v>411.37428571428575</v>
      </c>
      <c r="G234" s="44">
        <f t="shared" si="53"/>
        <v>13.712476190476192</v>
      </c>
      <c r="H234" s="180">
        <f t="shared" si="49"/>
        <v>0.36413069129221198</v>
      </c>
      <c r="I234" s="718"/>
      <c r="J234" s="180">
        <v>0.36413069129221198</v>
      </c>
      <c r="K234" s="546">
        <v>30</v>
      </c>
      <c r="L234" s="551">
        <f t="shared" si="54"/>
        <v>0.36413069129221198</v>
      </c>
      <c r="N234" s="72">
        <f t="shared" si="50"/>
        <v>13.712151494785045</v>
      </c>
      <c r="O234" s="599">
        <f t="shared" si="55"/>
        <v>411.36454484355136</v>
      </c>
      <c r="P234" s="591">
        <f t="shared" si="51"/>
        <v>1.1499850674741805</v>
      </c>
      <c r="Q234" s="58">
        <f t="shared" si="56"/>
        <v>473.06308385839696</v>
      </c>
      <c r="R234" s="168">
        <f t="shared" si="57"/>
        <v>61.698539014845608</v>
      </c>
      <c r="S234" s="171">
        <f t="shared" si="58"/>
        <v>0.14998506747418053</v>
      </c>
    </row>
    <row r="235" spans="2:19" ht="15" customHeight="1" x14ac:dyDescent="0.2">
      <c r="E235" s="69">
        <v>40</v>
      </c>
      <c r="F235" s="50">
        <f t="shared" si="52"/>
        <v>508.31714285714281</v>
      </c>
      <c r="G235" s="44">
        <f t="shared" si="53"/>
        <v>12.707928571428571</v>
      </c>
      <c r="H235" s="180">
        <f t="shared" si="49"/>
        <v>0.33745523064756139</v>
      </c>
      <c r="I235" s="718"/>
      <c r="J235" s="180">
        <v>0.33745523064756139</v>
      </c>
      <c r="K235" s="546">
        <v>40</v>
      </c>
      <c r="L235" s="551">
        <f t="shared" si="54"/>
        <v>0.33745523064756139</v>
      </c>
      <c r="N235" s="72">
        <f t="shared" si="50"/>
        <v>12.707627662271593</v>
      </c>
      <c r="O235" s="599">
        <f t="shared" si="55"/>
        <v>508.30510649086369</v>
      </c>
      <c r="P235" s="591">
        <f t="shared" si="51"/>
        <v>1.1500047776697337</v>
      </c>
      <c r="Q235" s="58">
        <f t="shared" si="56"/>
        <v>584.55330097841602</v>
      </c>
      <c r="R235" s="168">
        <f t="shared" si="57"/>
        <v>76.248194487552325</v>
      </c>
      <c r="S235" s="171">
        <f t="shared" si="58"/>
        <v>0.15000477766973372</v>
      </c>
    </row>
    <row r="236" spans="2:19" ht="15" customHeight="1" thickBot="1" x14ac:dyDescent="0.25">
      <c r="E236" s="70">
        <v>50</v>
      </c>
      <c r="F236" s="54">
        <f t="shared" si="52"/>
        <v>602.09571428571428</v>
      </c>
      <c r="G236" s="45">
        <f t="shared" si="53"/>
        <v>12.041914285714286</v>
      </c>
      <c r="H236" s="179">
        <f t="shared" si="49"/>
        <v>0.31976942110456524</v>
      </c>
      <c r="I236" s="718"/>
      <c r="J236" s="179">
        <v>0.31976942110456524</v>
      </c>
      <c r="K236" s="555">
        <v>50</v>
      </c>
      <c r="L236" s="556">
        <f t="shared" si="54"/>
        <v>0.31976942110456524</v>
      </c>
      <c r="N236" s="557">
        <f t="shared" si="50"/>
        <v>12.041629147010859</v>
      </c>
      <c r="O236" s="601">
        <f>K236*N236</f>
        <v>602.08145735054291</v>
      </c>
      <c r="P236" s="592">
        <f t="shared" si="51"/>
        <v>1.1499761547167393</v>
      </c>
      <c r="Q236" s="59">
        <f t="shared" si="56"/>
        <v>692.37931915022784</v>
      </c>
      <c r="R236" s="167">
        <f t="shared" si="57"/>
        <v>90.297861799684938</v>
      </c>
      <c r="S236" s="170">
        <f t="shared" si="58"/>
        <v>0.14997615471673936</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0.56699999999999995</v>
      </c>
      <c r="S241" s="327">
        <f>R241/R227</f>
        <v>1.0000236794124771</v>
      </c>
    </row>
    <row r="242" spans="1:19" ht="15" customHeight="1" x14ac:dyDescent="0.2">
      <c r="E242" s="323"/>
      <c r="F242" s="324"/>
      <c r="G242" s="323"/>
      <c r="H242" s="325"/>
      <c r="I242" s="41"/>
      <c r="J242" s="325"/>
      <c r="K242" s="323"/>
      <c r="L242" s="325"/>
      <c r="M242" s="41"/>
      <c r="N242" s="324"/>
      <c r="O242" s="324"/>
      <c r="P242" s="326"/>
      <c r="Q242" s="324"/>
      <c r="R242" s="167">
        <f t="shared" si="59"/>
        <v>1.615</v>
      </c>
      <c r="S242" s="327">
        <f t="shared" ref="S242:S250" si="60">R242/R228</f>
        <v>1.0000236794124733</v>
      </c>
    </row>
    <row r="243" spans="1:19" ht="15" customHeight="1" x14ac:dyDescent="0.2">
      <c r="R243" s="168">
        <f t="shared" si="59"/>
        <v>2.94</v>
      </c>
      <c r="S243" s="327">
        <f t="shared" si="60"/>
        <v>1.0000236794124764</v>
      </c>
    </row>
    <row r="244" spans="1:19" ht="15" customHeight="1" x14ac:dyDescent="0.2">
      <c r="R244" s="168">
        <f t="shared" si="59"/>
        <v>4.5350000000000001</v>
      </c>
      <c r="S244" s="327">
        <f t="shared" si="60"/>
        <v>1.0000236794124722</v>
      </c>
    </row>
    <row r="245" spans="1:19" ht="15" customHeight="1" x14ac:dyDescent="0.2">
      <c r="R245" s="167">
        <f t="shared" si="59"/>
        <v>6.3949999999999996</v>
      </c>
      <c r="S245" s="327">
        <f t="shared" si="60"/>
        <v>1.0000236794124753</v>
      </c>
    </row>
    <row r="246" spans="1:19" ht="15" customHeight="1" x14ac:dyDescent="0.2">
      <c r="R246" s="168">
        <f t="shared" si="59"/>
        <v>18.95</v>
      </c>
      <c r="S246" s="327">
        <f t="shared" si="60"/>
        <v>1.0000236794124744</v>
      </c>
    </row>
    <row r="247" spans="1:19" ht="15" customHeight="1" x14ac:dyDescent="0.2">
      <c r="F247" s="41"/>
      <c r="G247" s="41"/>
      <c r="H247" s="41"/>
      <c r="I247" s="41"/>
      <c r="J247" s="41"/>
      <c r="K247" s="41"/>
      <c r="L247" s="41"/>
      <c r="M247" s="41"/>
      <c r="N247" s="41"/>
      <c r="O247" s="41"/>
      <c r="P247" s="41"/>
      <c r="R247" s="168">
        <f t="shared" si="59"/>
        <v>45.73</v>
      </c>
      <c r="S247" s="327">
        <f t="shared" si="60"/>
        <v>1.0000236794124739</v>
      </c>
    </row>
    <row r="248" spans="1:19" ht="15" customHeight="1" x14ac:dyDescent="0.2">
      <c r="B248" s="90"/>
      <c r="R248" s="168">
        <f t="shared" si="59"/>
        <v>61.7</v>
      </c>
      <c r="S248" s="327">
        <f t="shared" si="60"/>
        <v>1.0000236794124744</v>
      </c>
    </row>
    <row r="249" spans="1:19" ht="15" customHeight="1" x14ac:dyDescent="0.2">
      <c r="A249" s="90" t="s">
        <v>95</v>
      </c>
      <c r="B249" s="64" t="s">
        <v>178</v>
      </c>
      <c r="R249" s="168">
        <f t="shared" si="59"/>
        <v>76.25</v>
      </c>
      <c r="S249" s="327">
        <f t="shared" si="60"/>
        <v>1.0000236794124742</v>
      </c>
    </row>
    <row r="250" spans="1:19" ht="15" customHeight="1" x14ac:dyDescent="0.2">
      <c r="R250" s="167">
        <f t="shared" si="59"/>
        <v>90.3</v>
      </c>
      <c r="S250" s="327">
        <f t="shared" si="60"/>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0.56699999999999995</v>
      </c>
      <c r="G257" s="49">
        <f>F257/E257</f>
        <v>0.56699999999999995</v>
      </c>
      <c r="H257" s="178">
        <f>SQRT(12*32.2*G257^2/(4*$B$258*($B$257*56)*$B$256^2))</f>
        <v>1.5056514891605029E-2</v>
      </c>
      <c r="I257" s="718"/>
      <c r="J257" s="178">
        <v>1.5056514891605029E-2</v>
      </c>
      <c r="K257" s="544">
        <v>1</v>
      </c>
      <c r="L257" s="549">
        <f>J257*$L$255</f>
        <v>1.5056514891605029E-2</v>
      </c>
      <c r="M257" s="5">
        <f>(B257*2.20462*25.4*12)</f>
        <v>3057.4552007999996</v>
      </c>
      <c r="N257" s="74">
        <f>L257*B$256*SQRT(4*B$258*M$257/32.2)/12</f>
        <v>0.56698657409104503</v>
      </c>
      <c r="O257" s="218">
        <f>K257*N257</f>
        <v>0.56698657409104503</v>
      </c>
      <c r="Q257" s="218">
        <f t="shared" ref="Q257:Q266" si="61">E157</f>
        <v>0.56699999999999995</v>
      </c>
      <c r="R257" s="327">
        <f>Q257/O257</f>
        <v>1.0000236794124737</v>
      </c>
    </row>
    <row r="258" spans="2:18" ht="15" customHeight="1" x14ac:dyDescent="0.2">
      <c r="B258" s="271">
        <f>D207</f>
        <v>85</v>
      </c>
      <c r="C258" s="77" t="s">
        <v>1</v>
      </c>
      <c r="D258" s="17"/>
      <c r="E258" s="70">
        <v>2</v>
      </c>
      <c r="F258" s="167">
        <f t="shared" ref="F258:F266" si="62">G186</f>
        <v>1.615</v>
      </c>
      <c r="G258" s="48">
        <f t="shared" ref="G258:G266" si="63">F258/E258</f>
        <v>0.8075</v>
      </c>
      <c r="H258" s="179">
        <f t="shared" ref="H258:H266" si="64">SQRT(12*32.2*G258^2/(4*$B$258*($B$257*56)*$B$256^2))</f>
        <v>2.14429202380442E-2</v>
      </c>
      <c r="I258" s="718"/>
      <c r="J258" s="179">
        <v>2.14429202380442E-2</v>
      </c>
      <c r="K258" s="545">
        <v>2</v>
      </c>
      <c r="L258" s="550">
        <f t="shared" ref="L258:L266" si="65">J258*$L$255</f>
        <v>2.14429202380442E-2</v>
      </c>
      <c r="N258" s="73">
        <f t="shared" ref="N258:N266" si="66">L258*B$256*SQRT(4*B$258*M$257/32.2)/12</f>
        <v>0.8074808793271937</v>
      </c>
      <c r="O258" s="219">
        <f t="shared" ref="O258" si="67">K258*N258</f>
        <v>1.6149617586543874</v>
      </c>
      <c r="Q258" s="219">
        <f t="shared" si="61"/>
        <v>1.615</v>
      </c>
      <c r="R258" s="327">
        <f t="shared" ref="R258:R266" si="68">Q258/O258</f>
        <v>1.0000236794124737</v>
      </c>
    </row>
    <row r="259" spans="2:18" ht="15" customHeight="1" x14ac:dyDescent="0.2">
      <c r="E259" s="69">
        <v>3</v>
      </c>
      <c r="F259" s="168">
        <f t="shared" si="62"/>
        <v>2.94</v>
      </c>
      <c r="G259" s="47">
        <f t="shared" si="63"/>
        <v>0.98</v>
      </c>
      <c r="H259" s="180">
        <f t="shared" si="64"/>
        <v>2.6023605985490174E-2</v>
      </c>
      <c r="I259" s="718"/>
      <c r="J259" s="180">
        <v>2.6023605985490174E-2</v>
      </c>
      <c r="K259" s="546">
        <v>3</v>
      </c>
      <c r="L259" s="551">
        <f t="shared" si="65"/>
        <v>2.6023605985490174E-2</v>
      </c>
      <c r="N259" s="72">
        <f t="shared" si="66"/>
        <v>0.979976794725263</v>
      </c>
      <c r="O259" s="220">
        <f>K259*N259</f>
        <v>2.9399303841757889</v>
      </c>
      <c r="Q259" s="220">
        <f t="shared" si="61"/>
        <v>2.94</v>
      </c>
      <c r="R259" s="327">
        <f t="shared" si="68"/>
        <v>1.0000236794124737</v>
      </c>
    </row>
    <row r="260" spans="2:18" ht="15" customHeight="1" x14ac:dyDescent="0.2">
      <c r="E260" s="69">
        <v>4</v>
      </c>
      <c r="F260" s="168">
        <f t="shared" si="62"/>
        <v>4.5350000000000001</v>
      </c>
      <c r="G260" s="47">
        <f t="shared" si="63"/>
        <v>1.13375</v>
      </c>
      <c r="H260" s="180">
        <f t="shared" si="64"/>
        <v>3.0106391108213764E-2</v>
      </c>
      <c r="I260" s="718"/>
      <c r="J260" s="180">
        <v>3.0106391108213764E-2</v>
      </c>
      <c r="K260" s="546">
        <v>4</v>
      </c>
      <c r="L260" s="551">
        <f t="shared" si="65"/>
        <v>3.0106391108213764E-2</v>
      </c>
      <c r="N260" s="72">
        <f t="shared" si="66"/>
        <v>1.1337231541018029</v>
      </c>
      <c r="O260" s="220">
        <f t="shared" ref="O260:O266" si="69">K260*N260</f>
        <v>4.5348926164072116</v>
      </c>
      <c r="Q260" s="220">
        <f t="shared" si="61"/>
        <v>4.5350000000000001</v>
      </c>
      <c r="R260" s="327">
        <f t="shared" si="68"/>
        <v>1.0000236794124739</v>
      </c>
    </row>
    <row r="261" spans="2:18" ht="15" customHeight="1" x14ac:dyDescent="0.2">
      <c r="E261" s="70">
        <v>5</v>
      </c>
      <c r="F261" s="167">
        <f t="shared" si="62"/>
        <v>6.3949999999999996</v>
      </c>
      <c r="G261" s="48">
        <f t="shared" si="63"/>
        <v>1.2789999999999999</v>
      </c>
      <c r="H261" s="179">
        <f t="shared" si="64"/>
        <v>3.3963461281063194E-2</v>
      </c>
      <c r="I261" s="718"/>
      <c r="J261" s="179">
        <v>3.3963461281063194E-2</v>
      </c>
      <c r="K261" s="545">
        <v>5</v>
      </c>
      <c r="L261" s="550">
        <f t="shared" si="65"/>
        <v>3.3963461281063194E-2</v>
      </c>
      <c r="N261" s="73">
        <f t="shared" si="66"/>
        <v>1.2789697147485828</v>
      </c>
      <c r="O261" s="219">
        <f t="shared" si="69"/>
        <v>6.3948485737429142</v>
      </c>
      <c r="Q261" s="219">
        <f t="shared" si="61"/>
        <v>6.3949999999999996</v>
      </c>
      <c r="R261" s="327">
        <f t="shared" si="68"/>
        <v>1.0000236794124739</v>
      </c>
    </row>
    <row r="262" spans="2:18" ht="15" customHeight="1" x14ac:dyDescent="0.2">
      <c r="E262" s="69">
        <v>10</v>
      </c>
      <c r="F262" s="168">
        <f t="shared" si="62"/>
        <v>18.95</v>
      </c>
      <c r="G262" s="47">
        <f t="shared" si="63"/>
        <v>1.895</v>
      </c>
      <c r="H262" s="180">
        <f t="shared" si="64"/>
        <v>5.0321156471942734E-2</v>
      </c>
      <c r="I262" s="718"/>
      <c r="J262" s="180">
        <v>5.0321156471942734E-2</v>
      </c>
      <c r="K262" s="547">
        <v>10</v>
      </c>
      <c r="L262" s="551">
        <f t="shared" si="65"/>
        <v>5.0321156471942734E-2</v>
      </c>
      <c r="M262" s="41"/>
      <c r="N262" s="76">
        <f t="shared" si="66"/>
        <v>1.894955128575891</v>
      </c>
      <c r="O262" s="221">
        <f t="shared" si="69"/>
        <v>18.949551285758911</v>
      </c>
      <c r="Q262" s="221">
        <f t="shared" si="61"/>
        <v>18.95</v>
      </c>
      <c r="R262" s="327">
        <f t="shared" si="68"/>
        <v>1.0000236794124737</v>
      </c>
    </row>
    <row r="263" spans="2:18" ht="15" customHeight="1" x14ac:dyDescent="0.2">
      <c r="E263" s="69">
        <v>20</v>
      </c>
      <c r="F263" s="168">
        <f t="shared" si="62"/>
        <v>45.73</v>
      </c>
      <c r="G263" s="47">
        <f t="shared" si="63"/>
        <v>2.2864999999999998</v>
      </c>
      <c r="H263" s="180">
        <f t="shared" si="64"/>
        <v>6.0717321516146207E-2</v>
      </c>
      <c r="I263" s="718"/>
      <c r="J263" s="180">
        <v>6.0717321516146207E-2</v>
      </c>
      <c r="K263" s="546">
        <v>20</v>
      </c>
      <c r="L263" s="551">
        <f t="shared" si="65"/>
        <v>6.0717321516146207E-2</v>
      </c>
      <c r="N263" s="72">
        <f t="shared" si="66"/>
        <v>2.2864458583054219</v>
      </c>
      <c r="O263" s="220">
        <f t="shared" si="69"/>
        <v>45.728917166108438</v>
      </c>
      <c r="Q263" s="220">
        <f t="shared" si="61"/>
        <v>45.73</v>
      </c>
      <c r="R263" s="327">
        <f t="shared" si="68"/>
        <v>1.0000236794124739</v>
      </c>
    </row>
    <row r="264" spans="2:18" ht="15" customHeight="1" x14ac:dyDescent="0.2">
      <c r="E264" s="69">
        <v>30</v>
      </c>
      <c r="F264" s="168">
        <f t="shared" si="62"/>
        <v>61.7</v>
      </c>
      <c r="G264" s="47">
        <f t="shared" si="63"/>
        <v>2.0566666666666666</v>
      </c>
      <c r="H264" s="180">
        <f t="shared" si="64"/>
        <v>5.461416630288244E-2</v>
      </c>
      <c r="I264" s="718"/>
      <c r="J264" s="180">
        <v>5.461416630288244E-2</v>
      </c>
      <c r="K264" s="546">
        <v>30</v>
      </c>
      <c r="L264" s="551">
        <f t="shared" si="65"/>
        <v>5.461416630288244E-2</v>
      </c>
      <c r="N264" s="72">
        <f t="shared" si="66"/>
        <v>2.0566179671615212</v>
      </c>
      <c r="O264" s="220">
        <f t="shared" si="69"/>
        <v>61.698539014845636</v>
      </c>
      <c r="Q264" s="220">
        <f t="shared" si="61"/>
        <v>61.7</v>
      </c>
      <c r="R264" s="327">
        <f t="shared" si="68"/>
        <v>1.0000236794124739</v>
      </c>
    </row>
    <row r="265" spans="2:18" ht="15" customHeight="1" x14ac:dyDescent="0.2">
      <c r="E265" s="69">
        <v>40</v>
      </c>
      <c r="F265" s="168">
        <f t="shared" si="62"/>
        <v>76.25</v>
      </c>
      <c r="G265" s="47">
        <f t="shared" si="63"/>
        <v>1.90625</v>
      </c>
      <c r="H265" s="180">
        <f t="shared" si="64"/>
        <v>5.0619896846776168E-2</v>
      </c>
      <c r="I265" s="718"/>
      <c r="J265" s="180">
        <v>5.0619896846776168E-2</v>
      </c>
      <c r="K265" s="546">
        <v>40</v>
      </c>
      <c r="L265" s="551">
        <f t="shared" si="65"/>
        <v>5.0619896846776168E-2</v>
      </c>
      <c r="N265" s="72">
        <f t="shared" si="66"/>
        <v>1.9062048621888088</v>
      </c>
      <c r="O265" s="220">
        <f t="shared" si="69"/>
        <v>76.248194487552354</v>
      </c>
      <c r="Q265" s="220">
        <f t="shared" si="61"/>
        <v>76.25</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22" t="s">
        <v>715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37.567000000000007</v>
      </c>
      <c r="D288" s="162">
        <f t="shared" si="70"/>
        <v>108.56700000000001</v>
      </c>
      <c r="E288" s="162">
        <f t="shared" si="70"/>
        <v>27.567000000000007</v>
      </c>
      <c r="F288" s="162">
        <f>G288+J288</f>
        <v>33.000000000000007</v>
      </c>
      <c r="G288" s="162">
        <f t="shared" ref="G288:H297" si="71">F185</f>
        <v>27.000000000000007</v>
      </c>
      <c r="H288" s="887">
        <f t="shared" si="71"/>
        <v>0.56699999999999995</v>
      </c>
      <c r="I288" s="162">
        <f>M185</f>
        <v>75</v>
      </c>
      <c r="J288" s="162">
        <f t="shared" ref="J288:J297" si="72">L185</f>
        <v>6</v>
      </c>
      <c r="K288" s="886">
        <f>H288/G288</f>
        <v>2.0999999999999991E-2</v>
      </c>
      <c r="L288" s="889">
        <f t="shared" ref="L288:L297" si="73">F205</f>
        <v>0.99760403646189244</v>
      </c>
      <c r="M288" s="889">
        <f t="shared" ref="M288:M297" si="74">H227</f>
        <v>0.71697689960023969</v>
      </c>
      <c r="N288" s="889">
        <f t="shared" ref="N288:N297" si="75">H257</f>
        <v>1.5056514891605029E-2</v>
      </c>
      <c r="O288" s="40"/>
      <c r="P288" s="920">
        <f>L288</f>
        <v>0.99760403646189244</v>
      </c>
    </row>
    <row r="289" spans="1:22" ht="15" customHeight="1" x14ac:dyDescent="0.2">
      <c r="A289" s="35"/>
      <c r="B289" s="449">
        <v>2</v>
      </c>
      <c r="C289" s="127">
        <f t="shared" si="70"/>
        <v>68.514999999999986</v>
      </c>
      <c r="D289" s="127">
        <f t="shared" si="70"/>
        <v>139.51499999999999</v>
      </c>
      <c r="E289" s="127">
        <f t="shared" si="70"/>
        <v>55.514999999999972</v>
      </c>
      <c r="F289" s="127">
        <f t="shared" ref="F289:F297" si="76">G289+J289</f>
        <v>62.89999999999997</v>
      </c>
      <c r="G289" s="127">
        <f t="shared" si="71"/>
        <v>53.89999999999997</v>
      </c>
      <c r="H289" s="460">
        <f t="shared" si="71"/>
        <v>1.615</v>
      </c>
      <c r="I289" s="127">
        <f t="shared" ref="I289:I297" si="77">M186</f>
        <v>75</v>
      </c>
      <c r="J289" s="127">
        <f t="shared" si="72"/>
        <v>9</v>
      </c>
      <c r="K289" s="885">
        <f t="shared" ref="K289:K297" si="78">H289/G289</f>
        <v>2.9962894248608551E-2</v>
      </c>
      <c r="L289" s="585">
        <f t="shared" si="73"/>
        <v>0.90971917584830464</v>
      </c>
      <c r="M289" s="585">
        <f t="shared" si="74"/>
        <v>0.71564916460097938</v>
      </c>
      <c r="N289" s="585">
        <f t="shared" si="75"/>
        <v>2.14429202380442E-2</v>
      </c>
      <c r="O289" s="1"/>
      <c r="P289" s="469">
        <f t="shared" ref="P289:P297" si="79">L289</f>
        <v>0.90971917584830464</v>
      </c>
    </row>
    <row r="290" spans="1:22" ht="15" customHeight="1" x14ac:dyDescent="0.2">
      <c r="A290" s="35"/>
      <c r="B290" s="449">
        <v>3</v>
      </c>
      <c r="C290" s="463">
        <f t="shared" si="70"/>
        <v>93.139999999999986</v>
      </c>
      <c r="D290" s="463">
        <f t="shared" si="70"/>
        <v>164.14</v>
      </c>
      <c r="E290" s="463">
        <f t="shared" si="70"/>
        <v>78.339999999999975</v>
      </c>
      <c r="F290" s="463">
        <f t="shared" si="76"/>
        <v>86.199999999999974</v>
      </c>
      <c r="G290" s="463">
        <f t="shared" si="71"/>
        <v>75.399999999999977</v>
      </c>
      <c r="H290" s="464">
        <f t="shared" si="71"/>
        <v>2.94</v>
      </c>
      <c r="I290" s="463">
        <f t="shared" si="77"/>
        <v>75</v>
      </c>
      <c r="J290" s="463">
        <f t="shared" si="72"/>
        <v>10.8</v>
      </c>
      <c r="K290" s="886">
        <f t="shared" si="78"/>
        <v>3.8992042440318314E-2</v>
      </c>
      <c r="L290" s="586">
        <f t="shared" si="73"/>
        <v>0.8244544410081599</v>
      </c>
      <c r="M290" s="586">
        <f t="shared" si="74"/>
        <v>0.66740812629454371</v>
      </c>
      <c r="N290" s="586">
        <f t="shared" si="75"/>
        <v>2.6023605985490174E-2</v>
      </c>
      <c r="O290" s="1"/>
      <c r="P290" s="470">
        <f t="shared" si="79"/>
        <v>0.8244544410081599</v>
      </c>
    </row>
    <row r="291" spans="1:22" ht="15" customHeight="1" x14ac:dyDescent="0.2">
      <c r="A291" s="35"/>
      <c r="B291" s="449">
        <v>4</v>
      </c>
      <c r="C291" s="463">
        <f t="shared" si="70"/>
        <v>114.035</v>
      </c>
      <c r="D291" s="463">
        <f t="shared" si="70"/>
        <v>185.035</v>
      </c>
      <c r="E291" s="463">
        <f t="shared" si="70"/>
        <v>98.034999999999997</v>
      </c>
      <c r="F291" s="463">
        <f t="shared" si="76"/>
        <v>105.5</v>
      </c>
      <c r="G291" s="463">
        <f t="shared" si="71"/>
        <v>93.5</v>
      </c>
      <c r="H291" s="464">
        <f t="shared" si="71"/>
        <v>4.5350000000000001</v>
      </c>
      <c r="I291" s="463">
        <f t="shared" si="77"/>
        <v>75</v>
      </c>
      <c r="J291" s="463">
        <f t="shared" si="72"/>
        <v>12</v>
      </c>
      <c r="K291" s="886">
        <f t="shared" si="78"/>
        <v>4.8502673796791448E-2</v>
      </c>
      <c r="L291" s="586">
        <f t="shared" si="73"/>
        <v>0.75705922949617932</v>
      </c>
      <c r="M291" s="586">
        <f t="shared" si="74"/>
        <v>0.62071611215391109</v>
      </c>
      <c r="N291" s="586">
        <f t="shared" si="75"/>
        <v>3.0106391108213764E-2</v>
      </c>
      <c r="O291" s="1"/>
      <c r="P291" s="470">
        <f t="shared" si="79"/>
        <v>0.75705922949617932</v>
      </c>
    </row>
    <row r="292" spans="1:22" ht="15" customHeight="1" x14ac:dyDescent="0.2">
      <c r="A292" s="35"/>
      <c r="B292" s="449">
        <v>5</v>
      </c>
      <c r="C292" s="127">
        <f t="shared" si="70"/>
        <v>133.09500000000003</v>
      </c>
      <c r="D292" s="127">
        <f t="shared" si="70"/>
        <v>204.09500000000003</v>
      </c>
      <c r="E292" s="127">
        <f t="shared" si="70"/>
        <v>116.59500000000001</v>
      </c>
      <c r="F292" s="127">
        <f t="shared" si="76"/>
        <v>122.70000000000002</v>
      </c>
      <c r="G292" s="127">
        <f t="shared" si="71"/>
        <v>110.20000000000002</v>
      </c>
      <c r="H292" s="460">
        <f t="shared" si="71"/>
        <v>6.3949999999999996</v>
      </c>
      <c r="I292" s="127">
        <f t="shared" si="77"/>
        <v>75</v>
      </c>
      <c r="J292" s="127">
        <f t="shared" si="72"/>
        <v>12.5</v>
      </c>
      <c r="K292" s="885">
        <f t="shared" si="78"/>
        <v>5.8030852994555342E-2</v>
      </c>
      <c r="L292" s="585">
        <f t="shared" si="73"/>
        <v>0.70687629692493703</v>
      </c>
      <c r="M292" s="585">
        <f t="shared" si="74"/>
        <v>0.58526558767367709</v>
      </c>
      <c r="N292" s="585">
        <f t="shared" si="75"/>
        <v>3.3963461281063194E-2</v>
      </c>
      <c r="O292" s="1"/>
      <c r="P292" s="921">
        <f>L292</f>
        <v>0.70687629692493703</v>
      </c>
    </row>
    <row r="293" spans="1:22" ht="15" customHeight="1" x14ac:dyDescent="0.2">
      <c r="A293" s="35"/>
      <c r="B293" s="449">
        <v>10</v>
      </c>
      <c r="C293" s="463">
        <f t="shared" si="70"/>
        <v>218.74571428571437</v>
      </c>
      <c r="D293" s="463">
        <f t="shared" si="70"/>
        <v>289.74571428571437</v>
      </c>
      <c r="E293" s="463">
        <f t="shared" si="70"/>
        <v>201.14571428571432</v>
      </c>
      <c r="F293" s="463">
        <f t="shared" si="76"/>
        <v>195.79571428571433</v>
      </c>
      <c r="G293" s="463">
        <f t="shared" si="71"/>
        <v>182.19571428571433</v>
      </c>
      <c r="H293" s="464">
        <f t="shared" si="71"/>
        <v>18.95</v>
      </c>
      <c r="I293" s="463">
        <f t="shared" si="77"/>
        <v>75</v>
      </c>
      <c r="J293" s="463">
        <f t="shared" si="72"/>
        <v>13.6</v>
      </c>
      <c r="K293" s="886">
        <f t="shared" si="78"/>
        <v>0.10400903267287137</v>
      </c>
      <c r="L293" s="586">
        <f t="shared" si="73"/>
        <v>0.58088643631423431</v>
      </c>
      <c r="M293" s="586">
        <f t="shared" si="74"/>
        <v>0.48381525314452789</v>
      </c>
      <c r="N293" s="586">
        <f t="shared" si="75"/>
        <v>5.0321156471942734E-2</v>
      </c>
      <c r="O293" s="1"/>
      <c r="P293" s="470">
        <f t="shared" si="79"/>
        <v>0.58088643631423431</v>
      </c>
    </row>
    <row r="294" spans="1:22" ht="15" customHeight="1" x14ac:dyDescent="0.2">
      <c r="A294" s="35"/>
      <c r="B294" s="449">
        <v>20</v>
      </c>
      <c r="C294" s="463">
        <f t="shared" si="70"/>
        <v>369.14714285714291</v>
      </c>
      <c r="D294" s="463">
        <f t="shared" si="70"/>
        <v>440.14714285714291</v>
      </c>
      <c r="E294" s="463">
        <f t="shared" si="70"/>
        <v>350.54714285714289</v>
      </c>
      <c r="F294" s="463">
        <f t="shared" si="76"/>
        <v>319.41714285714289</v>
      </c>
      <c r="G294" s="463">
        <f t="shared" si="71"/>
        <v>304.81714285714287</v>
      </c>
      <c r="H294" s="464">
        <f t="shared" si="71"/>
        <v>45.73</v>
      </c>
      <c r="I294" s="463">
        <f t="shared" si="77"/>
        <v>75</v>
      </c>
      <c r="J294" s="463">
        <f t="shared" si="72"/>
        <v>14.6</v>
      </c>
      <c r="K294" s="886">
        <f t="shared" si="78"/>
        <v>0.15002437058283186</v>
      </c>
      <c r="L294" s="586">
        <f t="shared" si="73"/>
        <v>0.49014118742867469</v>
      </c>
      <c r="M294" s="586">
        <f t="shared" si="74"/>
        <v>0.40471638894577328</v>
      </c>
      <c r="N294" s="586">
        <f t="shared" si="75"/>
        <v>6.0717321516146207E-2</v>
      </c>
      <c r="O294" s="1"/>
      <c r="P294" s="470">
        <f t="shared" si="79"/>
        <v>0.49014118742867469</v>
      </c>
    </row>
    <row r="295" spans="1:22" ht="15" customHeight="1" x14ac:dyDescent="0.2">
      <c r="A295" s="35"/>
      <c r="B295" s="449">
        <v>30</v>
      </c>
      <c r="C295" s="463">
        <f t="shared" si="70"/>
        <v>492.1742857142857</v>
      </c>
      <c r="D295" s="463">
        <f t="shared" si="70"/>
        <v>563.1742857142857</v>
      </c>
      <c r="E295" s="463">
        <f t="shared" si="70"/>
        <v>473.07428571428574</v>
      </c>
      <c r="F295" s="463">
        <f t="shared" si="76"/>
        <v>426.47428571428577</v>
      </c>
      <c r="G295" s="463">
        <f t="shared" si="71"/>
        <v>411.37428571428575</v>
      </c>
      <c r="H295" s="464">
        <f t="shared" si="71"/>
        <v>61.7</v>
      </c>
      <c r="I295" s="463">
        <f t="shared" si="77"/>
        <v>75</v>
      </c>
      <c r="J295" s="463">
        <f t="shared" si="72"/>
        <v>15.1</v>
      </c>
      <c r="K295" s="886">
        <f t="shared" si="78"/>
        <v>0.14998506747418061</v>
      </c>
      <c r="L295" s="586">
        <f t="shared" si="73"/>
        <v>0.43566166588701072</v>
      </c>
      <c r="M295" s="586">
        <f t="shared" si="74"/>
        <v>0.36413069129221198</v>
      </c>
      <c r="N295" s="586">
        <f t="shared" si="75"/>
        <v>5.461416630288244E-2</v>
      </c>
      <c r="O295" s="1"/>
      <c r="P295" s="470">
        <f t="shared" si="79"/>
        <v>0.43566166588701072</v>
      </c>
      <c r="R295" s="491" t="s">
        <v>531</v>
      </c>
    </row>
    <row r="296" spans="1:22" ht="15" customHeight="1" x14ac:dyDescent="0.2">
      <c r="A296" s="35"/>
      <c r="B296" s="449">
        <v>40</v>
      </c>
      <c r="C296" s="463">
        <f t="shared" si="70"/>
        <v>605.06714285714281</v>
      </c>
      <c r="D296" s="463">
        <f t="shared" si="70"/>
        <v>676.06714285714281</v>
      </c>
      <c r="E296" s="463">
        <f t="shared" si="70"/>
        <v>584.56714285714281</v>
      </c>
      <c r="F296" s="463">
        <f t="shared" si="76"/>
        <v>523.81714285714281</v>
      </c>
      <c r="G296" s="463">
        <f t="shared" si="71"/>
        <v>508.31714285714281</v>
      </c>
      <c r="H296" s="464">
        <f t="shared" si="71"/>
        <v>76.25</v>
      </c>
      <c r="I296" s="463">
        <f t="shared" si="77"/>
        <v>76</v>
      </c>
      <c r="J296" s="463">
        <f t="shared" si="72"/>
        <v>15.5</v>
      </c>
      <c r="K296" s="886">
        <f t="shared" si="78"/>
        <v>0.15000477766973375</v>
      </c>
      <c r="L296" s="586">
        <f t="shared" si="73"/>
        <v>0.40169392288760747</v>
      </c>
      <c r="M296" s="586">
        <f t="shared" si="74"/>
        <v>0.33745523064756139</v>
      </c>
      <c r="N296" s="586">
        <f t="shared" si="75"/>
        <v>5.0619896846776168E-2</v>
      </c>
      <c r="O296" s="1"/>
      <c r="P296" s="470">
        <f t="shared" si="79"/>
        <v>0.40169392288760747</v>
      </c>
      <c r="R296" s="491" t="s">
        <v>532</v>
      </c>
    </row>
    <row r="297" spans="1:22" ht="15" customHeight="1" x14ac:dyDescent="0.2">
      <c r="A297" s="35"/>
      <c r="B297" s="449">
        <v>50</v>
      </c>
      <c r="C297" s="127">
        <f t="shared" si="70"/>
        <v>714.19571428571419</v>
      </c>
      <c r="D297" s="127">
        <f t="shared" si="70"/>
        <v>785.19571428571419</v>
      </c>
      <c r="E297" s="127">
        <f t="shared" si="70"/>
        <v>692.39571428571423</v>
      </c>
      <c r="F297" s="127">
        <f t="shared" si="76"/>
        <v>617.89571428571423</v>
      </c>
      <c r="G297" s="127">
        <f t="shared" si="71"/>
        <v>602.09571428571428</v>
      </c>
      <c r="H297" s="460">
        <f t="shared" si="71"/>
        <v>90.3</v>
      </c>
      <c r="I297" s="127">
        <f t="shared" si="77"/>
        <v>77</v>
      </c>
      <c r="J297" s="127">
        <f t="shared" si="72"/>
        <v>15.8</v>
      </c>
      <c r="K297" s="885">
        <f t="shared" si="78"/>
        <v>0.14997615471673939</v>
      </c>
      <c r="L297" s="585">
        <f t="shared" si="73"/>
        <v>0.37931404019230319</v>
      </c>
      <c r="M297" s="585">
        <f t="shared" si="74"/>
        <v>0.31976942110456524</v>
      </c>
      <c r="N297" s="585">
        <f t="shared" si="75"/>
        <v>4.7957788173260463E-2</v>
      </c>
      <c r="O297" s="1"/>
      <c r="P297" s="921">
        <f t="shared" si="79"/>
        <v>0.37931404019230319</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709</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B35B4-B8E1-4CB4-A590-C9779832A75D}">
  <sheetPr transitionEvaluation="1" transitionEntry="1">
    <tabColor theme="9" tint="0.39997558519241921"/>
  </sheetPr>
  <dimension ref="A1:AD404"/>
  <sheetViews>
    <sheetView showGridLines="0" topLeftCell="A272" zoomScale="90" zoomScaleNormal="90" workbookViewId="0">
      <selection activeCell="C275" sqref="C275"/>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22" t="s">
        <v>715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109_74_38_g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2.1</v>
      </c>
      <c r="B30" s="68">
        <v>1</v>
      </c>
      <c r="C30" s="398">
        <v>2</v>
      </c>
      <c r="D30" s="398">
        <v>2.1</v>
      </c>
      <c r="E30" s="389">
        <f>SUM(C30:D30)/2</f>
        <v>2.0499999999999998</v>
      </c>
      <c r="F30" s="866">
        <f>C30/D30</f>
        <v>0.95238095238095233</v>
      </c>
      <c r="G30" s="874">
        <v>0.9</v>
      </c>
      <c r="I30" s="28" t="s">
        <v>613</v>
      </c>
      <c r="U30" t="s">
        <v>587</v>
      </c>
    </row>
    <row r="31" spans="1:30" ht="15" customHeight="1" x14ac:dyDescent="0.2">
      <c r="A31" s="871">
        <v>3</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3.9</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4.8499999999999996</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5.8</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10.4</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t="s">
        <v>701</v>
      </c>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30.5</v>
      </c>
      <c r="C108" s="106">
        <v>1</v>
      </c>
      <c r="D108" s="715">
        <v>30.5</v>
      </c>
      <c r="E108" s="38"/>
      <c r="F108" s="175">
        <v>35.299999999999997</v>
      </c>
    </row>
    <row r="109" spans="1:12" ht="15" customHeight="1" x14ac:dyDescent="0.2">
      <c r="B109" s="716">
        <v>59.7</v>
      </c>
      <c r="C109" s="106">
        <v>2</v>
      </c>
      <c r="D109" s="716">
        <v>59.7</v>
      </c>
      <c r="E109" s="605">
        <f>D109/D108</f>
        <v>1.957377049180328</v>
      </c>
      <c r="F109" s="176">
        <v>64.2</v>
      </c>
    </row>
    <row r="110" spans="1:12" ht="15" customHeight="1" x14ac:dyDescent="0.2">
      <c r="B110" s="65">
        <v>81.95</v>
      </c>
      <c r="C110" s="106">
        <v>3</v>
      </c>
      <c r="D110" s="65">
        <v>81.95</v>
      </c>
      <c r="E110" s="605">
        <f t="shared" ref="E110:E112" si="9">D110/D109</f>
        <v>1.3726968174204355</v>
      </c>
      <c r="F110" s="717">
        <v>88.1</v>
      </c>
    </row>
    <row r="111" spans="1:12" ht="15" customHeight="1" x14ac:dyDescent="0.2">
      <c r="B111" s="65">
        <v>99.5</v>
      </c>
      <c r="C111" s="106">
        <v>4</v>
      </c>
      <c r="D111" s="65">
        <v>99.5</v>
      </c>
      <c r="E111" s="605">
        <f t="shared" si="9"/>
        <v>1.2141549725442342</v>
      </c>
      <c r="F111" s="717">
        <v>107.5</v>
      </c>
    </row>
    <row r="112" spans="1:12" ht="15" customHeight="1" x14ac:dyDescent="0.2">
      <c r="B112" s="716">
        <v>115.35</v>
      </c>
      <c r="C112" s="106">
        <v>5</v>
      </c>
      <c r="D112" s="716">
        <v>115.35</v>
      </c>
      <c r="E112" s="605">
        <f t="shared" si="9"/>
        <v>1.1592964824120602</v>
      </c>
      <c r="F112" s="176">
        <v>123.1</v>
      </c>
    </row>
    <row r="113" spans="1:8" ht="15" customHeight="1" x14ac:dyDescent="0.2">
      <c r="B113" s="65">
        <v>184.55</v>
      </c>
      <c r="C113" s="106">
        <v>10</v>
      </c>
      <c r="D113" s="65">
        <v>184.55</v>
      </c>
      <c r="E113" s="605">
        <f>(D113/D112)/5</f>
        <v>0.31998266146510623</v>
      </c>
      <c r="F113" s="177">
        <v>192.2</v>
      </c>
    </row>
    <row r="114" spans="1:8" ht="15" customHeight="1" x14ac:dyDescent="0.2">
      <c r="B114" s="65">
        <v>306.39999999999998</v>
      </c>
      <c r="C114" s="106">
        <v>20</v>
      </c>
      <c r="D114" s="65">
        <v>306.39999999999998</v>
      </c>
      <c r="E114" s="605">
        <f>(D114/D113)/10</f>
        <v>0.16602546735302084</v>
      </c>
      <c r="F114" s="177">
        <v>309.10000000000002</v>
      </c>
    </row>
    <row r="115" spans="1:8" ht="15" customHeight="1" x14ac:dyDescent="0.2">
      <c r="B115" s="65">
        <v>411.95</v>
      </c>
      <c r="C115" s="106">
        <v>30</v>
      </c>
      <c r="D115" s="65">
        <v>411.95</v>
      </c>
      <c r="E115" s="605">
        <f t="shared" ref="E115:E117" si="10">(D115/D114)/10</f>
        <v>0.13444843342036555</v>
      </c>
      <c r="F115" s="177">
        <v>413</v>
      </c>
    </row>
    <row r="116" spans="1:8" ht="15" customHeight="1" x14ac:dyDescent="0.2">
      <c r="B116" s="65">
        <v>508.1</v>
      </c>
      <c r="C116" s="106">
        <v>40</v>
      </c>
      <c r="D116" s="65">
        <v>508.1</v>
      </c>
      <c r="E116" s="605">
        <f t="shared" si="10"/>
        <v>0.12334021119067848</v>
      </c>
      <c r="F116" s="177">
        <v>508.6</v>
      </c>
    </row>
    <row r="117" spans="1:8" ht="15" customHeight="1" x14ac:dyDescent="0.2">
      <c r="B117" s="716">
        <v>602.04999999999995</v>
      </c>
      <c r="C117" s="106">
        <v>50</v>
      </c>
      <c r="D117" s="716">
        <v>602.04999999999995</v>
      </c>
      <c r="E117" s="605">
        <f t="shared" si="10"/>
        <v>0.11849045463491437</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0.43749999999999178</v>
      </c>
      <c r="F126" s="408">
        <f>INDEX(LINEST(D$139:D$143,($C$139:$C$143)^{1,2,3}),1)</f>
        <v>1.1749999999999905E-3</v>
      </c>
      <c r="H126" t="s">
        <v>300</v>
      </c>
    </row>
    <row r="127" spans="1:8" ht="15" customHeight="1" x14ac:dyDescent="0.2">
      <c r="E127" s="409" cm="1">
        <f t="array" ref="E127">_xlfn.SINGLE(INDEX(LINEST(D$134:D$138,($C$134:$C$138)^{1,2,3}),2))</f>
        <v>-6.1803571428570612</v>
      </c>
      <c r="F127" s="408">
        <f>INDEX(LINEST(D$139:D$143,($C$139:$C$143)^{1,2,3}),2)</f>
        <v>-0.15232142857142777</v>
      </c>
      <c r="H127" t="s">
        <v>301</v>
      </c>
    </row>
    <row r="128" spans="1:8" ht="15" customHeight="1" x14ac:dyDescent="0.2">
      <c r="E128" s="409">
        <f>INDEX(LINEST(D$134:D$138,($C$134:$C$138)^{1,2,3}),3)</f>
        <v>44.732142857142627</v>
      </c>
      <c r="F128" s="408">
        <f>INDEX(LINEST(D$139:D$143,($C$139:$C$143)^{1,2,3}),3)</f>
        <v>15.934285714285693</v>
      </c>
    </row>
    <row r="129" spans="1:11" ht="15" customHeight="1" x14ac:dyDescent="0.2">
      <c r="E129" s="409">
        <f>INDEX(LINEST(D$134:D$138,($C$134:$C$138)^{1,2,3}),4)</f>
        <v>-8.4999999999998295</v>
      </c>
      <c r="F129" s="408">
        <f>INDEX(LINEST(D$139:D$143,($C$139:$C$143)^{1,2,3}),4)</f>
        <v>39.260000000000218</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30.5</v>
      </c>
      <c r="E134" s="114">
        <f>(E$126*($C134)^3)+(E$127*($C134)^2)+(E$128*($C134)^1)+(E$129)</f>
        <v>30.489285714285728</v>
      </c>
      <c r="F134" s="2"/>
      <c r="H134" s="106">
        <v>1</v>
      </c>
      <c r="I134" s="393">
        <f>E134</f>
        <v>30.489285714285728</v>
      </c>
      <c r="J134" s="109">
        <f>B108</f>
        <v>30.5</v>
      </c>
      <c r="K134" s="410">
        <f>I134-J134</f>
        <v>-1.0714285714271909E-2</v>
      </c>
    </row>
    <row r="135" spans="1:11" ht="15" customHeight="1" x14ac:dyDescent="0.2">
      <c r="C135" s="106">
        <v>2</v>
      </c>
      <c r="D135" s="110">
        <f t="shared" ref="D135:D143" si="11">D109</f>
        <v>59.7</v>
      </c>
      <c r="E135" s="114">
        <f>(E$126*($C135)^3)+(E$127*($C135)^2)+(E$128*($C135)^1)+(E$129)</f>
        <v>59.742857142857105</v>
      </c>
      <c r="F135" s="2"/>
      <c r="H135" s="106">
        <v>2</v>
      </c>
      <c r="I135" s="393">
        <f t="shared" ref="I135:I138" si="12">E135</f>
        <v>59.742857142857105</v>
      </c>
      <c r="J135" s="110">
        <f t="shared" ref="J135:J143" si="13">B109</f>
        <v>59.7</v>
      </c>
      <c r="K135" s="411">
        <f t="shared" ref="K135:K143" si="14">I135-J135</f>
        <v>4.2857142857101849E-2</v>
      </c>
    </row>
    <row r="136" spans="1:11" ht="15" customHeight="1" x14ac:dyDescent="0.2">
      <c r="B136" s="28" t="s">
        <v>308</v>
      </c>
      <c r="C136" s="106">
        <v>3</v>
      </c>
      <c r="D136" s="105">
        <f t="shared" si="11"/>
        <v>81.95</v>
      </c>
      <c r="E136" s="114">
        <f t="shared" ref="E136" si="15">(E$126*($C136)^3)+(E$127*($C136)^2)+(E$128*($C136)^1)+(E$129)</f>
        <v>81.885714285714272</v>
      </c>
      <c r="F136" s="2"/>
      <c r="H136" s="106">
        <v>3</v>
      </c>
      <c r="I136" s="393">
        <f t="shared" si="12"/>
        <v>81.885714285714272</v>
      </c>
      <c r="J136" s="105">
        <f t="shared" si="13"/>
        <v>81.95</v>
      </c>
      <c r="K136" s="412">
        <f t="shared" si="14"/>
        <v>-6.4285714285730933E-2</v>
      </c>
    </row>
    <row r="137" spans="1:11" ht="15" customHeight="1" x14ac:dyDescent="0.2">
      <c r="C137" s="106">
        <v>4</v>
      </c>
      <c r="D137" s="105">
        <f t="shared" si="11"/>
        <v>99.5</v>
      </c>
      <c r="E137" s="114">
        <f>(E$126*($C137)^3)+(E$127*($C137)^2)+(E$128*($C137)^1)+(E$129)</f>
        <v>99.542857142857173</v>
      </c>
      <c r="F137" s="2"/>
      <c r="H137" s="106">
        <v>4</v>
      </c>
      <c r="I137" s="393">
        <f t="shared" si="12"/>
        <v>99.542857142857173</v>
      </c>
      <c r="J137" s="105">
        <f t="shared" si="13"/>
        <v>99.5</v>
      </c>
      <c r="K137" s="412">
        <f t="shared" si="14"/>
        <v>4.2857142857172903E-2</v>
      </c>
    </row>
    <row r="138" spans="1:11" ht="15" customHeight="1" x14ac:dyDescent="0.2">
      <c r="C138" s="106">
        <v>5</v>
      </c>
      <c r="D138" s="110">
        <f t="shared" si="11"/>
        <v>115.35</v>
      </c>
      <c r="E138" s="114">
        <f>(E$126*($C138)^3)+(E$127*($C138)^2)+(E$128*($C138)^1)+(E$129)</f>
        <v>115.33928571428575</v>
      </c>
      <c r="F138" s="115"/>
      <c r="H138" s="106">
        <v>5</v>
      </c>
      <c r="I138" s="393">
        <f t="shared" si="12"/>
        <v>115.33928571428575</v>
      </c>
      <c r="J138" s="110">
        <f t="shared" si="13"/>
        <v>115.35</v>
      </c>
      <c r="K138" s="411">
        <f t="shared" si="14"/>
        <v>-1.0714285714243488E-2</v>
      </c>
    </row>
    <row r="139" spans="1:11" ht="15" customHeight="1" x14ac:dyDescent="0.2">
      <c r="C139" s="106">
        <v>10</v>
      </c>
      <c r="D139" s="105">
        <f t="shared" si="11"/>
        <v>184.55</v>
      </c>
      <c r="E139" s="114"/>
      <c r="F139" s="115">
        <f>(F$126*($C139)^3)+(F$127*($C139)^2)+(F$128*($C139)^1)+(F$129)</f>
        <v>184.54571428571435</v>
      </c>
      <c r="H139" s="106">
        <v>10</v>
      </c>
      <c r="I139" s="393">
        <f>F139</f>
        <v>184.54571428571435</v>
      </c>
      <c r="J139" s="105">
        <f t="shared" si="13"/>
        <v>184.55</v>
      </c>
      <c r="K139" s="412">
        <f t="shared" si="14"/>
        <v>-4.2857142856576047E-3</v>
      </c>
    </row>
    <row r="140" spans="1:11" ht="15" customHeight="1" x14ac:dyDescent="0.2">
      <c r="C140" s="106">
        <v>20</v>
      </c>
      <c r="D140" s="105">
        <f t="shared" si="11"/>
        <v>306.39999999999998</v>
      </c>
      <c r="E140" s="2"/>
      <c r="F140" s="115">
        <f t="shared" ref="F140:F143" si="16">(F$126*($C140)^3)+(F$127*($C140)^2)+(F$128*($C140)^1)+(F$129)</f>
        <v>306.41714285714289</v>
      </c>
      <c r="H140" s="106">
        <v>20</v>
      </c>
      <c r="I140" s="393">
        <f t="shared" ref="I140:I143" si="17">F140</f>
        <v>306.41714285714289</v>
      </c>
      <c r="J140" s="105">
        <f t="shared" si="13"/>
        <v>306.39999999999998</v>
      </c>
      <c r="K140" s="412">
        <f t="shared" si="14"/>
        <v>1.7142857142914636E-2</v>
      </c>
    </row>
    <row r="141" spans="1:11" ht="15" customHeight="1" x14ac:dyDescent="0.2">
      <c r="B141" s="28" t="s">
        <v>297</v>
      </c>
      <c r="C141" s="106">
        <v>30</v>
      </c>
      <c r="D141" s="105">
        <f t="shared" si="11"/>
        <v>411.95</v>
      </c>
      <c r="E141" s="2"/>
      <c r="F141" s="115">
        <f t="shared" si="16"/>
        <v>411.92428571428576</v>
      </c>
      <c r="H141" s="106">
        <v>30</v>
      </c>
      <c r="I141" s="393">
        <f t="shared" si="17"/>
        <v>411.92428571428576</v>
      </c>
      <c r="J141" s="105">
        <f t="shared" si="13"/>
        <v>411.95</v>
      </c>
      <c r="K141" s="412">
        <f t="shared" si="14"/>
        <v>-2.5714285714229845E-2</v>
      </c>
    </row>
    <row r="142" spans="1:11" ht="15" customHeight="1" x14ac:dyDescent="0.2">
      <c r="C142" s="106">
        <v>40</v>
      </c>
      <c r="D142" s="105">
        <f t="shared" si="11"/>
        <v>508.1</v>
      </c>
      <c r="E142" s="2"/>
      <c r="F142" s="115">
        <f t="shared" si="16"/>
        <v>508.11714285714288</v>
      </c>
      <c r="H142" s="106">
        <v>40</v>
      </c>
      <c r="I142" s="393">
        <f t="shared" si="17"/>
        <v>508.11714285714288</v>
      </c>
      <c r="J142" s="105">
        <f t="shared" si="13"/>
        <v>508.1</v>
      </c>
      <c r="K142" s="412">
        <f t="shared" si="14"/>
        <v>1.7142857142857792E-2</v>
      </c>
    </row>
    <row r="143" spans="1:11" ht="15" customHeight="1" x14ac:dyDescent="0.2">
      <c r="C143" s="106">
        <v>50</v>
      </c>
      <c r="D143" s="110">
        <f t="shared" si="11"/>
        <v>602.04999999999995</v>
      </c>
      <c r="E143" s="2"/>
      <c r="F143" s="115">
        <f t="shared" si="16"/>
        <v>602.04571428571421</v>
      </c>
      <c r="H143" s="106">
        <v>50</v>
      </c>
      <c r="I143" s="394">
        <f t="shared" si="17"/>
        <v>602.04571428571421</v>
      </c>
      <c r="J143" s="110">
        <f t="shared" si="13"/>
        <v>602.04999999999995</v>
      </c>
      <c r="K143" s="411">
        <f t="shared" si="14"/>
        <v>-4.2857142857428698E-3</v>
      </c>
    </row>
    <row r="144" spans="1:11" ht="15" customHeight="1" x14ac:dyDescent="0.2">
      <c r="I144" s="38"/>
    </row>
    <row r="145" spans="1:25" ht="15" customHeight="1" x14ac:dyDescent="0.2">
      <c r="D145" s="602">
        <f>D135/D134</f>
        <v>1.957377049180328</v>
      </c>
      <c r="E145" s="603">
        <f>D138/D135</f>
        <v>1.9321608040201004</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31.129285714285729</v>
      </c>
      <c r="D157" s="119">
        <f>I134</f>
        <v>30.489285714285728</v>
      </c>
      <c r="E157" s="118">
        <v>0.64</v>
      </c>
      <c r="F157" s="152">
        <f>E157/D157</f>
        <v>2.0990980438092999E-2</v>
      </c>
      <c r="G157" s="374">
        <f t="shared" ref="G157:G166" si="18">G30</f>
        <v>0.9</v>
      </c>
      <c r="H157" s="375">
        <f>E157-G157</f>
        <v>-0.26</v>
      </c>
      <c r="J157" s="917">
        <f>C59</f>
        <v>2.1000000000000001E-2</v>
      </c>
      <c r="K157" s="150">
        <f>J157-F157</f>
        <v>9.0195619070025657E-6</v>
      </c>
      <c r="M157" s="402">
        <f>C157/D157</f>
        <v>1.020990980438093</v>
      </c>
      <c r="N157" s="143">
        <f>D157*M157</f>
        <v>31.129285714285729</v>
      </c>
      <c r="O157" s="287">
        <f t="shared" ref="O157:O166" si="19">N157-C157</f>
        <v>0</v>
      </c>
      <c r="P157" s="288">
        <f>J157/F157</f>
        <v>1.0004296875000005</v>
      </c>
      <c r="Q157" s="289">
        <f t="shared" ref="Q157:Q166" si="20">P157*E157</f>
        <v>0.64027500000000037</v>
      </c>
      <c r="R157" s="267" t="s">
        <v>200</v>
      </c>
      <c r="U157" s="152">
        <f>E157/D157</f>
        <v>2.0990980438092999E-2</v>
      </c>
      <c r="Y157">
        <f>1.6/1.99</f>
        <v>0.8040201005025126</v>
      </c>
    </row>
    <row r="158" spans="1:25" ht="15" customHeight="1" x14ac:dyDescent="0.2">
      <c r="A158" s="118">
        <v>1.6</v>
      </c>
      <c r="B158" s="106">
        <v>2</v>
      </c>
      <c r="C158" s="120">
        <f t="shared" ref="C158:C166" si="21">D158+E158</f>
        <v>61.537857142857106</v>
      </c>
      <c r="D158" s="120">
        <f t="shared" ref="D158:D166" si="22">I135</f>
        <v>59.742857142857105</v>
      </c>
      <c r="E158" s="118">
        <v>1.7949999999999999</v>
      </c>
      <c r="F158" s="153">
        <f t="shared" ref="F158:F166" si="23">E158/D158</f>
        <v>3.0045432807269266E-2</v>
      </c>
      <c r="G158" s="376">
        <f t="shared" si="18"/>
        <v>1.6</v>
      </c>
      <c r="H158" s="377">
        <f t="shared" ref="H158:H166" si="24">E158-G158</f>
        <v>0.19499999999999984</v>
      </c>
      <c r="J158" s="402">
        <f t="shared" ref="J158:J166" si="25">C60</f>
        <v>0.03</v>
      </c>
      <c r="K158" s="150">
        <f t="shared" ref="K158:K165" si="26">J158-F158</f>
        <v>-4.5432807269266823E-5</v>
      </c>
      <c r="M158" s="402">
        <f t="shared" ref="M158:M166" si="27">C158/D158</f>
        <v>1.0300454328072692</v>
      </c>
      <c r="N158" s="144">
        <f t="shared" ref="N158:N166" si="28">D158*M158</f>
        <v>61.537857142857099</v>
      </c>
      <c r="O158" s="287">
        <f t="shared" si="19"/>
        <v>0</v>
      </c>
      <c r="P158" s="288">
        <f t="shared" ref="P158:P166" si="29">J158/F158</f>
        <v>0.99848786311181792</v>
      </c>
      <c r="Q158" s="290">
        <f t="shared" si="20"/>
        <v>1.7922857142857131</v>
      </c>
      <c r="R158" s="267" t="s">
        <v>312</v>
      </c>
      <c r="U158" s="152">
        <f t="shared" ref="U158:U166" si="30">E158/D158</f>
        <v>3.0045432807269266E-2</v>
      </c>
    </row>
    <row r="159" spans="1:25" ht="15" customHeight="1" x14ac:dyDescent="0.2">
      <c r="A159" s="118">
        <v>2.6</v>
      </c>
      <c r="B159" s="106">
        <v>3</v>
      </c>
      <c r="C159" s="121">
        <f t="shared" si="21"/>
        <v>85.080714285714265</v>
      </c>
      <c r="D159" s="121">
        <f t="shared" si="22"/>
        <v>81.885714285714272</v>
      </c>
      <c r="E159" s="118">
        <v>3.1949999999999998</v>
      </c>
      <c r="F159" s="154">
        <f t="shared" si="23"/>
        <v>3.9017794836008382E-2</v>
      </c>
      <c r="G159" s="378">
        <f t="shared" si="18"/>
        <v>2.6</v>
      </c>
      <c r="H159" s="379">
        <f t="shared" si="24"/>
        <v>0.59499999999999975</v>
      </c>
      <c r="J159" s="402">
        <f t="shared" si="25"/>
        <v>3.9E-2</v>
      </c>
      <c r="K159" s="150">
        <f t="shared" si="26"/>
        <v>-1.7794836008382109E-5</v>
      </c>
      <c r="M159" s="402">
        <f t="shared" si="27"/>
        <v>1.0390177948360082</v>
      </c>
      <c r="N159" s="145">
        <f t="shared" si="28"/>
        <v>85.080714285714251</v>
      </c>
      <c r="O159" s="287">
        <f t="shared" si="19"/>
        <v>0</v>
      </c>
      <c r="P159" s="288">
        <f t="shared" si="29"/>
        <v>0.99954393024815535</v>
      </c>
      <c r="Q159" s="288">
        <f t="shared" si="20"/>
        <v>3.1935428571428561</v>
      </c>
      <c r="R159" s="267" t="s">
        <v>143</v>
      </c>
      <c r="U159" s="152">
        <f t="shared" si="30"/>
        <v>3.9017794836008382E-2</v>
      </c>
    </row>
    <row r="160" spans="1:25" ht="15" customHeight="1" x14ac:dyDescent="0.2">
      <c r="A160" s="118">
        <v>3.8</v>
      </c>
      <c r="B160" s="106">
        <v>4</v>
      </c>
      <c r="C160" s="121">
        <f t="shared" si="21"/>
        <v>104.37285714285717</v>
      </c>
      <c r="D160" s="121">
        <f t="shared" si="22"/>
        <v>99.542857142857173</v>
      </c>
      <c r="E160" s="118">
        <v>4.83</v>
      </c>
      <c r="F160" s="154">
        <f t="shared" si="23"/>
        <v>4.8521814006888618E-2</v>
      </c>
      <c r="G160" s="378">
        <f t="shared" si="18"/>
        <v>3.8</v>
      </c>
      <c r="H160" s="379">
        <f t="shared" si="24"/>
        <v>1.0300000000000002</v>
      </c>
      <c r="J160" s="402">
        <f t="shared" si="25"/>
        <v>4.8499999999999995E-2</v>
      </c>
      <c r="K160" s="150">
        <f t="shared" si="26"/>
        <v>-2.1814006888623561E-5</v>
      </c>
      <c r="M160" s="402">
        <f t="shared" si="27"/>
        <v>1.0485218140068886</v>
      </c>
      <c r="N160" s="145">
        <f t="shared" si="28"/>
        <v>104.37285714285717</v>
      </c>
      <c r="O160" s="287">
        <f t="shared" si="19"/>
        <v>0</v>
      </c>
      <c r="P160" s="288">
        <f t="shared" si="29"/>
        <v>0.99955042886719925</v>
      </c>
      <c r="Q160" s="288">
        <f t="shared" si="20"/>
        <v>4.8278285714285722</v>
      </c>
      <c r="R160" s="88" t="s">
        <v>142</v>
      </c>
      <c r="U160" s="152">
        <f t="shared" si="30"/>
        <v>4.8521814006888618E-2</v>
      </c>
    </row>
    <row r="161" spans="1:25" ht="15" customHeight="1" x14ac:dyDescent="0.2">
      <c r="A161" s="118">
        <v>5.0999999999999996</v>
      </c>
      <c r="B161" s="106">
        <v>5</v>
      </c>
      <c r="C161" s="120">
        <f t="shared" si="21"/>
        <v>122.02928571428575</v>
      </c>
      <c r="D161" s="120">
        <f t="shared" si="22"/>
        <v>115.33928571428575</v>
      </c>
      <c r="E161" s="118">
        <v>6.69</v>
      </c>
      <c r="F161" s="153">
        <f t="shared" si="23"/>
        <v>5.8002786809103563E-2</v>
      </c>
      <c r="G161" s="376">
        <f t="shared" si="18"/>
        <v>5.0999999999999996</v>
      </c>
      <c r="H161" s="377">
        <f t="shared" si="24"/>
        <v>1.5900000000000007</v>
      </c>
      <c r="J161" s="402">
        <f t="shared" si="25"/>
        <v>5.7999999999999996E-2</v>
      </c>
      <c r="K161" s="150">
        <f t="shared" si="26"/>
        <v>-2.7868091035665454E-6</v>
      </c>
      <c r="M161" s="402">
        <f t="shared" si="27"/>
        <v>1.0580027868091035</v>
      </c>
      <c r="N161" s="144">
        <f t="shared" si="28"/>
        <v>122.02928571428575</v>
      </c>
      <c r="O161" s="287">
        <f t="shared" si="19"/>
        <v>0</v>
      </c>
      <c r="P161" s="288">
        <f t="shared" si="29"/>
        <v>0.99995195387572089</v>
      </c>
      <c r="Q161" s="290">
        <f t="shared" si="20"/>
        <v>6.6896785714285727</v>
      </c>
      <c r="U161" s="152">
        <f t="shared" si="30"/>
        <v>5.8002786809103563E-2</v>
      </c>
      <c r="Y161">
        <f>0.9/0.75</f>
        <v>1.2</v>
      </c>
    </row>
    <row r="162" spans="1:25" ht="15" customHeight="1" x14ac:dyDescent="0.2">
      <c r="A162" s="118">
        <v>15.1</v>
      </c>
      <c r="B162" s="106">
        <v>10</v>
      </c>
      <c r="C162" s="121">
        <f t="shared" si="21"/>
        <v>203.74571428571434</v>
      </c>
      <c r="D162" s="121">
        <f t="shared" si="22"/>
        <v>184.54571428571435</v>
      </c>
      <c r="E162" s="118">
        <v>19.2</v>
      </c>
      <c r="F162" s="154">
        <f t="shared" si="23"/>
        <v>0.10403926243594304</v>
      </c>
      <c r="G162" s="378">
        <f t="shared" si="18"/>
        <v>15.1</v>
      </c>
      <c r="H162" s="379">
        <f t="shared" si="24"/>
        <v>4.0999999999999996</v>
      </c>
      <c r="J162" s="402">
        <f t="shared" si="25"/>
        <v>0.10400000000000001</v>
      </c>
      <c r="K162" s="150">
        <f t="shared" si="26"/>
        <v>-3.9262435943029916E-5</v>
      </c>
      <c r="M162" s="402">
        <f t="shared" si="27"/>
        <v>1.104039262435943</v>
      </c>
      <c r="N162" s="145">
        <f t="shared" si="28"/>
        <v>203.74571428571434</v>
      </c>
      <c r="O162" s="287">
        <f t="shared" si="19"/>
        <v>0</v>
      </c>
      <c r="P162" s="288">
        <f t="shared" si="29"/>
        <v>0.99962261904761962</v>
      </c>
      <c r="Q162" s="288">
        <f t="shared" si="20"/>
        <v>19.192754285714297</v>
      </c>
      <c r="U162" s="152">
        <f t="shared" si="30"/>
        <v>0.10403926243594304</v>
      </c>
    </row>
    <row r="163" spans="1:25" ht="15" customHeight="1" x14ac:dyDescent="0.2">
      <c r="A163" s="118">
        <v>44</v>
      </c>
      <c r="B163" s="106">
        <v>20</v>
      </c>
      <c r="C163" s="121">
        <f t="shared" si="21"/>
        <v>352.36714285714288</v>
      </c>
      <c r="D163" s="121">
        <f t="shared" si="22"/>
        <v>306.41714285714289</v>
      </c>
      <c r="E163" s="118">
        <v>45.95</v>
      </c>
      <c r="F163" s="154">
        <f t="shared" si="23"/>
        <v>0.14995897282882345</v>
      </c>
      <c r="G163" s="378">
        <f t="shared" si="18"/>
        <v>44</v>
      </c>
      <c r="H163" s="379">
        <f t="shared" si="24"/>
        <v>1.9500000000000028</v>
      </c>
      <c r="J163" s="402">
        <f t="shared" si="25"/>
        <v>0.15</v>
      </c>
      <c r="K163" s="150">
        <f t="shared" si="26"/>
        <v>4.1027171176544197E-5</v>
      </c>
      <c r="M163" s="402">
        <f t="shared" si="27"/>
        <v>1.1499589728288233</v>
      </c>
      <c r="N163" s="145">
        <f t="shared" si="28"/>
        <v>352.36714285714288</v>
      </c>
      <c r="O163" s="287">
        <f t="shared" si="19"/>
        <v>0</v>
      </c>
      <c r="P163" s="288">
        <f t="shared" si="29"/>
        <v>1.0002735893051453</v>
      </c>
      <c r="Q163" s="288">
        <f t="shared" si="20"/>
        <v>45.96257142857143</v>
      </c>
      <c r="U163" s="152">
        <f t="shared" si="30"/>
        <v>0.14995897282882345</v>
      </c>
    </row>
    <row r="164" spans="1:25" ht="15" customHeight="1" x14ac:dyDescent="0.2">
      <c r="A164" s="118">
        <v>63.1</v>
      </c>
      <c r="B164" s="106">
        <v>30</v>
      </c>
      <c r="C164" s="121">
        <f>D164+E164</f>
        <v>473.72428571428577</v>
      </c>
      <c r="D164" s="121">
        <f t="shared" si="22"/>
        <v>411.92428571428576</v>
      </c>
      <c r="E164" s="118">
        <v>61.8</v>
      </c>
      <c r="F164" s="154">
        <f t="shared" si="23"/>
        <v>0.15002757094750421</v>
      </c>
      <c r="G164" s="378">
        <f t="shared" si="18"/>
        <v>63.1</v>
      </c>
      <c r="H164" s="379">
        <f t="shared" si="24"/>
        <v>-1.3000000000000043</v>
      </c>
      <c r="J164" s="402">
        <f t="shared" si="25"/>
        <v>0.15</v>
      </c>
      <c r="K164" s="150">
        <f t="shared" si="26"/>
        <v>-2.7570947504218513E-5</v>
      </c>
      <c r="M164" s="402">
        <f t="shared" si="27"/>
        <v>1.1500275709475043</v>
      </c>
      <c r="N164" s="145">
        <f t="shared" si="28"/>
        <v>473.72428571428577</v>
      </c>
      <c r="O164" s="287">
        <f t="shared" si="19"/>
        <v>0</v>
      </c>
      <c r="P164" s="288">
        <f t="shared" si="29"/>
        <v>0.99981622746185861</v>
      </c>
      <c r="Q164" s="288">
        <f t="shared" si="20"/>
        <v>61.788642857142861</v>
      </c>
      <c r="U164" s="152">
        <f t="shared" si="30"/>
        <v>0.15002757094750421</v>
      </c>
    </row>
    <row r="165" spans="1:25" ht="15" customHeight="1" x14ac:dyDescent="0.2">
      <c r="A165" s="118">
        <v>78.8</v>
      </c>
      <c r="B165" s="106">
        <v>40</v>
      </c>
      <c r="C165" s="121">
        <f t="shared" si="21"/>
        <v>584.31714285714293</v>
      </c>
      <c r="D165" s="121">
        <f t="shared" si="22"/>
        <v>508.11714285714288</v>
      </c>
      <c r="E165" s="118">
        <v>76.2</v>
      </c>
      <c r="F165" s="154">
        <f t="shared" si="23"/>
        <v>0.14996541854802886</v>
      </c>
      <c r="G165" s="378">
        <f t="shared" si="18"/>
        <v>78.8</v>
      </c>
      <c r="H165" s="379">
        <f t="shared" si="24"/>
        <v>-2.5999999999999943</v>
      </c>
      <c r="J165" s="402">
        <f t="shared" si="25"/>
        <v>0.15</v>
      </c>
      <c r="K165" s="150">
        <f t="shared" si="26"/>
        <v>3.4581451971132937E-5</v>
      </c>
      <c r="M165" s="402">
        <f t="shared" si="27"/>
        <v>1.149965418548029</v>
      </c>
      <c r="N165" s="145">
        <f t="shared" si="28"/>
        <v>584.31714285714293</v>
      </c>
      <c r="O165" s="287">
        <f t="shared" si="19"/>
        <v>0</v>
      </c>
      <c r="P165" s="288">
        <f t="shared" si="29"/>
        <v>1.000230596175478</v>
      </c>
      <c r="Q165" s="288">
        <f t="shared" si="20"/>
        <v>76.217571428571432</v>
      </c>
      <c r="U165" s="152">
        <f t="shared" si="30"/>
        <v>0.14996541854802886</v>
      </c>
    </row>
    <row r="166" spans="1:25" ht="15" customHeight="1" x14ac:dyDescent="0.2">
      <c r="A166" s="118">
        <v>93.8</v>
      </c>
      <c r="B166" s="106">
        <v>50</v>
      </c>
      <c r="C166" s="120">
        <f t="shared" si="21"/>
        <v>692.34571428571417</v>
      </c>
      <c r="D166" s="120">
        <f t="shared" si="22"/>
        <v>602.04571428571421</v>
      </c>
      <c r="E166" s="118">
        <v>90.3</v>
      </c>
      <c r="F166" s="153">
        <f t="shared" si="23"/>
        <v>0.14998861026215382</v>
      </c>
      <c r="G166" s="380">
        <f t="shared" si="18"/>
        <v>93.8</v>
      </c>
      <c r="H166" s="381">
        <f t="shared" si="24"/>
        <v>-3.5</v>
      </c>
      <c r="J166" s="403">
        <f t="shared" si="25"/>
        <v>0.15</v>
      </c>
      <c r="K166" s="151">
        <f>J166-F166</f>
        <v>1.1389737846173587E-5</v>
      </c>
      <c r="M166" s="403">
        <f t="shared" si="27"/>
        <v>1.1499886102621537</v>
      </c>
      <c r="N166" s="146">
        <f t="shared" si="28"/>
        <v>692.34571428571417</v>
      </c>
      <c r="O166" s="287">
        <f t="shared" si="19"/>
        <v>0</v>
      </c>
      <c r="P166" s="288">
        <f t="shared" si="29"/>
        <v>1.0000759373516848</v>
      </c>
      <c r="Q166" s="290">
        <f t="shared" si="20"/>
        <v>90.306857142857126</v>
      </c>
      <c r="U166" s="152">
        <f t="shared" si="30"/>
        <v>0.14998861026215382</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c r="U182" t="s">
        <v>705</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t="s">
        <v>706</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U184" s="28" t="s">
        <v>707</v>
      </c>
    </row>
    <row r="185" spans="2:26" ht="15" customHeight="1" x14ac:dyDescent="0.2">
      <c r="B185" s="106">
        <v>1</v>
      </c>
      <c r="C185" s="119">
        <f>(D185-J185)</f>
        <v>41.129285714285729</v>
      </c>
      <c r="D185" s="698">
        <f>(F185+G185+M185+L185)+$E$179</f>
        <v>112.12928571428573</v>
      </c>
      <c r="E185" s="119">
        <f>F185+G185</f>
        <v>31.129285714285729</v>
      </c>
      <c r="F185" s="119">
        <f t="shared" ref="F185:G194" si="31">D157</f>
        <v>30.489285714285728</v>
      </c>
      <c r="G185" s="175">
        <f t="shared" si="31"/>
        <v>0.64</v>
      </c>
      <c r="H185" s="155">
        <f>G185/F185</f>
        <v>2.0990980438092999E-2</v>
      </c>
      <c r="I185" s="119">
        <f>O185</f>
        <v>75</v>
      </c>
      <c r="J185" s="694">
        <v>71</v>
      </c>
      <c r="K185" s="690">
        <v>4</v>
      </c>
      <c r="L185" s="507">
        <f>P185</f>
        <v>6</v>
      </c>
      <c r="M185" s="497">
        <f>O185</f>
        <v>75</v>
      </c>
      <c r="N185" t="s">
        <v>34</v>
      </c>
      <c r="O185" s="417">
        <v>75</v>
      </c>
      <c r="P185" s="417">
        <v>6</v>
      </c>
      <c r="Q185" s="422">
        <v>109</v>
      </c>
      <c r="R185" s="432">
        <f>D185-Q185</f>
        <v>3.1292857142857287</v>
      </c>
      <c r="S185" s="433">
        <f t="shared" ref="S185:S194" si="32">G185-G30</f>
        <v>-0.26</v>
      </c>
      <c r="T185" s="420">
        <v>13.9</v>
      </c>
      <c r="U185">
        <v>6</v>
      </c>
      <c r="X185" s="106">
        <v>1</v>
      </c>
      <c r="Y185">
        <v>3.8</v>
      </c>
    </row>
    <row r="186" spans="2:26" ht="15" customHeight="1" x14ac:dyDescent="0.2">
      <c r="B186" s="106">
        <v>2</v>
      </c>
      <c r="C186" s="120">
        <f t="shared" ref="C186:C193" si="33">(D186-J186)</f>
        <v>74.537857142857092</v>
      </c>
      <c r="D186" s="699">
        <f t="shared" ref="D186:D193" si="34">(F186+G186+M186+L186)+$E$179</f>
        <v>145.53785714285709</v>
      </c>
      <c r="E186" s="120">
        <f t="shared" ref="E186:E191" si="35">F186+G186</f>
        <v>61.537857142857106</v>
      </c>
      <c r="F186" s="120">
        <f t="shared" si="31"/>
        <v>59.742857142857105</v>
      </c>
      <c r="G186" s="176">
        <f t="shared" si="31"/>
        <v>1.7949999999999999</v>
      </c>
      <c r="H186" s="156">
        <f t="shared" ref="H186:H194" si="36">G186/F186</f>
        <v>3.0045432807269266E-2</v>
      </c>
      <c r="I186" s="120">
        <f t="shared" ref="I186:I194" si="37">O186</f>
        <v>75</v>
      </c>
      <c r="J186" s="695">
        <f>J185</f>
        <v>71</v>
      </c>
      <c r="K186" s="691">
        <v>4</v>
      </c>
      <c r="L186" s="507">
        <f t="shared" ref="L186:L194" si="38">P186</f>
        <v>9</v>
      </c>
      <c r="M186" s="497">
        <f t="shared" ref="M186:M194" si="39">O186</f>
        <v>75</v>
      </c>
      <c r="N186" t="s">
        <v>697</v>
      </c>
      <c r="O186" s="242">
        <v>75</v>
      </c>
      <c r="P186" s="419">
        <v>9</v>
      </c>
      <c r="Q186" s="423">
        <v>148</v>
      </c>
      <c r="R186" s="434">
        <f t="shared" ref="R186:R194" si="40">D186-Q186</f>
        <v>-2.4621428571429078</v>
      </c>
      <c r="S186" s="435">
        <f t="shared" si="32"/>
        <v>0.19499999999999984</v>
      </c>
      <c r="U186">
        <v>9</v>
      </c>
      <c r="X186" s="106">
        <v>2</v>
      </c>
      <c r="Y186">
        <v>5.0999999999999996</v>
      </c>
    </row>
    <row r="187" spans="2:26" ht="15" customHeight="1" x14ac:dyDescent="0.2">
      <c r="B187" s="106">
        <v>3</v>
      </c>
      <c r="C187" s="121">
        <f t="shared" si="33"/>
        <v>99.880714285714276</v>
      </c>
      <c r="D187" s="700">
        <f>(F187+G187+M187+L187)+$E$179</f>
        <v>170.88071428571428</v>
      </c>
      <c r="E187" s="121">
        <f t="shared" si="35"/>
        <v>85.080714285714265</v>
      </c>
      <c r="F187" s="121">
        <f t="shared" si="31"/>
        <v>81.885714285714272</v>
      </c>
      <c r="G187" s="177">
        <f t="shared" si="31"/>
        <v>3.1949999999999998</v>
      </c>
      <c r="H187" s="157">
        <f t="shared" si="36"/>
        <v>3.9017794836008382E-2</v>
      </c>
      <c r="I187" s="121">
        <f t="shared" si="37"/>
        <v>75</v>
      </c>
      <c r="J187" s="696">
        <f t="shared" ref="J187:J194" si="41">J186</f>
        <v>71</v>
      </c>
      <c r="K187" s="692">
        <v>4</v>
      </c>
      <c r="L187" s="507">
        <f t="shared" si="38"/>
        <v>10.8</v>
      </c>
      <c r="M187" s="497">
        <f t="shared" si="39"/>
        <v>75</v>
      </c>
      <c r="O187" s="243">
        <v>75</v>
      </c>
      <c r="P187" s="243">
        <v>10.8</v>
      </c>
      <c r="Q187" s="424">
        <v>172</v>
      </c>
      <c r="R187" s="436">
        <f t="shared" si="40"/>
        <v>-1.1192857142857235</v>
      </c>
      <c r="S187" s="437">
        <f t="shared" si="32"/>
        <v>0.59499999999999975</v>
      </c>
      <c r="U187">
        <v>10.8</v>
      </c>
      <c r="X187" s="106">
        <v>3</v>
      </c>
      <c r="Y187">
        <v>6.2</v>
      </c>
    </row>
    <row r="188" spans="2:26" ht="15" customHeight="1" x14ac:dyDescent="0.2">
      <c r="B188" s="106">
        <v>4</v>
      </c>
      <c r="C188" s="121">
        <f t="shared" si="33"/>
        <v>120.37285714285719</v>
      </c>
      <c r="D188" s="700">
        <f t="shared" si="34"/>
        <v>191.37285714285719</v>
      </c>
      <c r="E188" s="121">
        <f t="shared" si="35"/>
        <v>104.37285714285717</v>
      </c>
      <c r="F188" s="121">
        <f t="shared" si="31"/>
        <v>99.542857142857173</v>
      </c>
      <c r="G188" s="177">
        <f t="shared" si="31"/>
        <v>4.83</v>
      </c>
      <c r="H188" s="157">
        <f t="shared" si="36"/>
        <v>4.8521814006888618E-2</v>
      </c>
      <c r="I188" s="121">
        <f t="shared" si="37"/>
        <v>75</v>
      </c>
      <c r="J188" s="696">
        <f t="shared" si="41"/>
        <v>71</v>
      </c>
      <c r="K188" s="692">
        <v>4</v>
      </c>
      <c r="L188" s="507">
        <f t="shared" si="38"/>
        <v>12</v>
      </c>
      <c r="M188" s="497">
        <f t="shared" si="39"/>
        <v>75</v>
      </c>
      <c r="O188" s="243">
        <v>75</v>
      </c>
      <c r="P188" s="243">
        <v>12</v>
      </c>
      <c r="Q188" s="424">
        <v>191</v>
      </c>
      <c r="R188" s="436">
        <f t="shared" si="40"/>
        <v>0.37285714285718541</v>
      </c>
      <c r="S188" s="437">
        <f t="shared" si="32"/>
        <v>1.0300000000000002</v>
      </c>
      <c r="U188">
        <v>12</v>
      </c>
      <c r="X188" s="106">
        <v>4</v>
      </c>
      <c r="Y188">
        <v>7.1</v>
      </c>
    </row>
    <row r="189" spans="2:26" ht="15" customHeight="1" x14ac:dyDescent="0.2">
      <c r="B189" s="106">
        <v>5</v>
      </c>
      <c r="C189" s="120">
        <f t="shared" si="33"/>
        <v>138.52928571428575</v>
      </c>
      <c r="D189" s="699">
        <f t="shared" si="34"/>
        <v>209.52928571428575</v>
      </c>
      <c r="E189" s="120">
        <f t="shared" si="35"/>
        <v>122.02928571428575</v>
      </c>
      <c r="F189" s="120">
        <f t="shared" si="31"/>
        <v>115.33928571428575</v>
      </c>
      <c r="G189" s="176">
        <f t="shared" si="31"/>
        <v>6.69</v>
      </c>
      <c r="H189" s="156">
        <f t="shared" si="36"/>
        <v>5.8002786809103563E-2</v>
      </c>
      <c r="I189" s="120">
        <f t="shared" si="37"/>
        <v>75</v>
      </c>
      <c r="J189" s="695">
        <f t="shared" si="41"/>
        <v>71</v>
      </c>
      <c r="K189" s="691">
        <v>4</v>
      </c>
      <c r="L189" s="507">
        <f t="shared" si="38"/>
        <v>12.5</v>
      </c>
      <c r="M189" s="497">
        <f t="shared" si="39"/>
        <v>75</v>
      </c>
      <c r="O189" s="242">
        <v>75</v>
      </c>
      <c r="P189" s="242">
        <v>12.5</v>
      </c>
      <c r="Q189" s="423">
        <v>209</v>
      </c>
      <c r="R189" s="434">
        <f t="shared" si="40"/>
        <v>0.52928571428574855</v>
      </c>
      <c r="S189" s="435">
        <f t="shared" si="32"/>
        <v>1.5900000000000007</v>
      </c>
      <c r="U189">
        <v>12.5</v>
      </c>
      <c r="X189" s="106">
        <v>5</v>
      </c>
      <c r="Y189">
        <v>8</v>
      </c>
    </row>
    <row r="190" spans="2:26" ht="15" customHeight="1" x14ac:dyDescent="0.2">
      <c r="B190" s="106">
        <v>10</v>
      </c>
      <c r="C190" s="121">
        <f t="shared" si="33"/>
        <v>221.34571428571439</v>
      </c>
      <c r="D190" s="700">
        <f t="shared" si="34"/>
        <v>292.34571428571439</v>
      </c>
      <c r="E190" s="121">
        <f t="shared" si="35"/>
        <v>203.74571428571434</v>
      </c>
      <c r="F190" s="121">
        <f t="shared" si="31"/>
        <v>184.54571428571435</v>
      </c>
      <c r="G190" s="177">
        <f t="shared" si="31"/>
        <v>19.2</v>
      </c>
      <c r="H190" s="157">
        <f t="shared" si="36"/>
        <v>0.10403926243594304</v>
      </c>
      <c r="I190" s="121">
        <f t="shared" si="37"/>
        <v>75</v>
      </c>
      <c r="J190" s="696">
        <f t="shared" si="41"/>
        <v>71</v>
      </c>
      <c r="K190" s="692">
        <v>4</v>
      </c>
      <c r="L190" s="507">
        <f t="shared" si="38"/>
        <v>13.6</v>
      </c>
      <c r="M190" s="497">
        <f t="shared" si="39"/>
        <v>75</v>
      </c>
      <c r="O190" s="243">
        <v>75</v>
      </c>
      <c r="P190" s="243">
        <v>13.6</v>
      </c>
      <c r="Q190" s="424">
        <v>287</v>
      </c>
      <c r="R190" s="436">
        <f t="shared" si="40"/>
        <v>5.3457142857143936</v>
      </c>
      <c r="S190" s="437">
        <f t="shared" si="32"/>
        <v>4.0999999999999996</v>
      </c>
      <c r="U190">
        <v>13.6</v>
      </c>
      <c r="X190" s="106">
        <v>10</v>
      </c>
      <c r="Y190">
        <v>10.199999999999999</v>
      </c>
    </row>
    <row r="191" spans="2:26" ht="15" customHeight="1" x14ac:dyDescent="0.2">
      <c r="B191" s="106">
        <v>20</v>
      </c>
      <c r="C191" s="121">
        <f t="shared" si="33"/>
        <v>370.9671428571429</v>
      </c>
      <c r="D191" s="700">
        <f t="shared" si="34"/>
        <v>441.9671428571429</v>
      </c>
      <c r="E191" s="121">
        <f t="shared" si="35"/>
        <v>352.36714285714288</v>
      </c>
      <c r="F191" s="121">
        <f t="shared" si="31"/>
        <v>306.41714285714289</v>
      </c>
      <c r="G191" s="177">
        <f t="shared" si="31"/>
        <v>45.95</v>
      </c>
      <c r="H191" s="157">
        <f t="shared" si="36"/>
        <v>0.14995897282882345</v>
      </c>
      <c r="I191" s="121">
        <f t="shared" si="37"/>
        <v>75</v>
      </c>
      <c r="J191" s="696">
        <f t="shared" si="41"/>
        <v>71</v>
      </c>
      <c r="K191" s="692">
        <v>4</v>
      </c>
      <c r="L191" s="507">
        <f t="shared" si="38"/>
        <v>14.6</v>
      </c>
      <c r="M191" s="497">
        <f t="shared" si="39"/>
        <v>75</v>
      </c>
      <c r="O191" s="243">
        <v>75</v>
      </c>
      <c r="P191" s="243">
        <v>14.6</v>
      </c>
      <c r="Q191" s="424">
        <v>439</v>
      </c>
      <c r="R191" s="436">
        <f t="shared" si="40"/>
        <v>2.9671428571429033</v>
      </c>
      <c r="S191" s="437">
        <f t="shared" si="32"/>
        <v>1.9500000000000028</v>
      </c>
      <c r="U191">
        <v>14.6</v>
      </c>
      <c r="X191" s="106">
        <v>20</v>
      </c>
      <c r="Y191">
        <v>11.8</v>
      </c>
    </row>
    <row r="192" spans="2:26" ht="15" customHeight="1" x14ac:dyDescent="0.2">
      <c r="B192" s="106">
        <v>30</v>
      </c>
      <c r="C192" s="121">
        <f t="shared" si="33"/>
        <v>492.82428571428579</v>
      </c>
      <c r="D192" s="700">
        <f t="shared" si="34"/>
        <v>563.82428571428579</v>
      </c>
      <c r="E192" s="121">
        <f>F192+G192</f>
        <v>473.72428571428577</v>
      </c>
      <c r="F192" s="121">
        <f t="shared" si="31"/>
        <v>411.92428571428576</v>
      </c>
      <c r="G192" s="177">
        <f t="shared" si="31"/>
        <v>61.8</v>
      </c>
      <c r="H192" s="157">
        <f t="shared" si="36"/>
        <v>0.15002757094750421</v>
      </c>
      <c r="I192" s="121">
        <f t="shared" si="37"/>
        <v>75</v>
      </c>
      <c r="J192" s="696">
        <f t="shared" si="41"/>
        <v>71</v>
      </c>
      <c r="K192" s="692">
        <v>4</v>
      </c>
      <c r="L192" s="507">
        <f t="shared" si="38"/>
        <v>15.1</v>
      </c>
      <c r="M192" s="497">
        <f t="shared" si="39"/>
        <v>75</v>
      </c>
      <c r="O192" s="243">
        <v>75</v>
      </c>
      <c r="P192" s="243">
        <v>15.1</v>
      </c>
      <c r="Q192" s="424">
        <v>562</v>
      </c>
      <c r="R192" s="436">
        <f t="shared" si="40"/>
        <v>1.8242857142857929</v>
      </c>
      <c r="S192" s="437">
        <f t="shared" si="32"/>
        <v>-1.3000000000000043</v>
      </c>
      <c r="U192">
        <v>15.1</v>
      </c>
      <c r="X192" s="106">
        <v>30</v>
      </c>
      <c r="Y192">
        <v>12.4</v>
      </c>
    </row>
    <row r="193" spans="1:25" ht="15" customHeight="1" x14ac:dyDescent="0.2">
      <c r="B193" s="106">
        <v>40</v>
      </c>
      <c r="C193" s="121">
        <f t="shared" si="33"/>
        <v>604.81714285714293</v>
      </c>
      <c r="D193" s="700">
        <f t="shared" si="34"/>
        <v>675.81714285714293</v>
      </c>
      <c r="E193" s="121">
        <f t="shared" ref="E193:E194" si="42">F193+G193</f>
        <v>584.31714285714293</v>
      </c>
      <c r="F193" s="121">
        <f t="shared" si="31"/>
        <v>508.11714285714288</v>
      </c>
      <c r="G193" s="177">
        <f t="shared" si="31"/>
        <v>76.2</v>
      </c>
      <c r="H193" s="157">
        <f t="shared" si="36"/>
        <v>0.14996541854802886</v>
      </c>
      <c r="I193" s="121">
        <f t="shared" si="37"/>
        <v>76</v>
      </c>
      <c r="J193" s="696">
        <f t="shared" si="41"/>
        <v>71</v>
      </c>
      <c r="K193" s="692">
        <v>4</v>
      </c>
      <c r="L193" s="507">
        <f t="shared" si="38"/>
        <v>15.5</v>
      </c>
      <c r="M193" s="497">
        <f t="shared" si="39"/>
        <v>76</v>
      </c>
      <c r="O193" s="243">
        <v>76</v>
      </c>
      <c r="P193" s="243">
        <v>15.5</v>
      </c>
      <c r="Q193" s="424">
        <v>675</v>
      </c>
      <c r="R193" s="436">
        <f t="shared" si="40"/>
        <v>0.817142857142926</v>
      </c>
      <c r="S193" s="437">
        <f t="shared" si="32"/>
        <v>-2.5999999999999943</v>
      </c>
      <c r="U193">
        <v>15.5</v>
      </c>
      <c r="X193" s="106">
        <v>40</v>
      </c>
      <c r="Y193">
        <v>12.9</v>
      </c>
    </row>
    <row r="194" spans="1:25" ht="15" customHeight="1" thickBot="1" x14ac:dyDescent="0.25">
      <c r="B194" s="106">
        <v>50</v>
      </c>
      <c r="C194" s="120">
        <f>(D194-J194)</f>
        <v>714.14571428571412</v>
      </c>
      <c r="D194" s="701">
        <f>(F194+G194+M194+L194)+$E$179</f>
        <v>785.14571428571412</v>
      </c>
      <c r="E194" s="120">
        <f t="shared" si="42"/>
        <v>692.34571428571417</v>
      </c>
      <c r="F194" s="120">
        <f t="shared" si="31"/>
        <v>602.04571428571421</v>
      </c>
      <c r="G194" s="176">
        <f t="shared" si="31"/>
        <v>90.3</v>
      </c>
      <c r="H194" s="156">
        <f t="shared" si="36"/>
        <v>0.14998861026215382</v>
      </c>
      <c r="I194" s="120">
        <f t="shared" si="37"/>
        <v>77</v>
      </c>
      <c r="J194" s="697">
        <f t="shared" si="41"/>
        <v>71</v>
      </c>
      <c r="K194" s="693">
        <v>4</v>
      </c>
      <c r="L194" s="507">
        <f t="shared" si="38"/>
        <v>15.8</v>
      </c>
      <c r="M194" s="497">
        <f t="shared" si="39"/>
        <v>77</v>
      </c>
      <c r="O194" s="554">
        <v>77</v>
      </c>
      <c r="P194" s="242">
        <v>15.8</v>
      </c>
      <c r="Q194" s="423">
        <v>786</v>
      </c>
      <c r="R194" s="438">
        <f t="shared" si="40"/>
        <v>-0.85428571428587929</v>
      </c>
      <c r="S194" s="439">
        <f t="shared" si="32"/>
        <v>-3.5</v>
      </c>
      <c r="U194">
        <v>15.8</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1.0922017048304595</v>
      </c>
      <c r="G205" s="122">
        <v>0.99760403646189244</v>
      </c>
      <c r="H205" s="34">
        <f>(D206*2.20462*25.4*12)</f>
        <v>3057.4552007999996</v>
      </c>
      <c r="I205" s="5">
        <f>F205*D$205*SQRT(4*D$207*H$205/32.2)/12</f>
        <v>41.129285714285722</v>
      </c>
      <c r="J205" s="1"/>
      <c r="K205" s="22"/>
      <c r="L205" s="96">
        <v>1</v>
      </c>
      <c r="M205" s="92">
        <f>L205*I205</f>
        <v>41.129285714285722</v>
      </c>
      <c r="N205" s="13"/>
      <c r="O205" s="84">
        <v>1</v>
      </c>
      <c r="P205" s="92">
        <f>C185</f>
        <v>41.129285714285729</v>
      </c>
      <c r="Q205" s="254">
        <f>P205/M205</f>
        <v>1.0000000000000002</v>
      </c>
      <c r="R205" s="254">
        <f>G205*Q205</f>
        <v>0.99760403646189266</v>
      </c>
      <c r="S205" s="267" t="s">
        <v>138</v>
      </c>
    </row>
    <row r="206" spans="1:25" ht="15" customHeight="1" x14ac:dyDescent="0.2">
      <c r="B206" s="259" t="s">
        <v>7</v>
      </c>
      <c r="C206" s="12" t="s">
        <v>10</v>
      </c>
      <c r="D206" s="444">
        <v>4.55</v>
      </c>
      <c r="E206" s="255">
        <v>2</v>
      </c>
      <c r="F206" s="250">
        <v>0.98968865167479603</v>
      </c>
      <c r="G206" s="123">
        <v>0.90971917584830464</v>
      </c>
      <c r="H206" s="35"/>
      <c r="I206" s="5">
        <f>F206*D$205*SQRT(4*D$207*H$205/32.2)/12</f>
        <v>37.268928571428553</v>
      </c>
      <c r="J206" s="1"/>
      <c r="K206" s="22"/>
      <c r="L206" s="97">
        <v>2</v>
      </c>
      <c r="M206" s="93">
        <f>L206*I206</f>
        <v>74.537857142857106</v>
      </c>
      <c r="N206" s="13"/>
      <c r="O206" s="84">
        <v>2</v>
      </c>
      <c r="P206" s="93">
        <f t="shared" ref="P206:P214" si="43">C186</f>
        <v>74.537857142857092</v>
      </c>
      <c r="Q206" s="254">
        <f t="shared" ref="Q206:Q214" si="44">P206/M206</f>
        <v>0.99999999999999978</v>
      </c>
      <c r="R206" s="254">
        <f t="shared" ref="R206:R214" si="45">G206*Q206</f>
        <v>0.90971917584830442</v>
      </c>
      <c r="S206" s="267" t="s">
        <v>139</v>
      </c>
    </row>
    <row r="207" spans="1:25" ht="15" customHeight="1" x14ac:dyDescent="0.2">
      <c r="B207" s="261" t="s">
        <v>8</v>
      </c>
      <c r="C207" s="262" t="s">
        <v>15</v>
      </c>
      <c r="D207" s="263">
        <v>85</v>
      </c>
      <c r="E207" s="255">
        <v>3</v>
      </c>
      <c r="F207" s="249">
        <v>0.88412173570887154</v>
      </c>
      <c r="G207" s="122">
        <v>0.8244544410081599</v>
      </c>
      <c r="H207" s="35"/>
      <c r="I207" s="5">
        <f t="shared" ref="I207:I214" si="46">F207*D$205*SQRT(4*D$207*H$205/32.2)/12</f>
        <v>33.293571428571418</v>
      </c>
      <c r="J207" s="1"/>
      <c r="K207" s="22"/>
      <c r="L207" s="98">
        <v>3</v>
      </c>
      <c r="M207" s="94">
        <f t="shared" ref="M207:M213" si="47">L207*I207</f>
        <v>99.880714285714248</v>
      </c>
      <c r="N207" s="13"/>
      <c r="O207" s="84">
        <v>3</v>
      </c>
      <c r="P207" s="94">
        <f t="shared" si="43"/>
        <v>99.880714285714276</v>
      </c>
      <c r="Q207" s="254">
        <f t="shared" si="44"/>
        <v>1.0000000000000002</v>
      </c>
      <c r="R207" s="254">
        <f t="shared" si="45"/>
        <v>0.82445444100816012</v>
      </c>
    </row>
    <row r="208" spans="1:25" ht="15" customHeight="1" x14ac:dyDescent="0.2">
      <c r="E208" s="30">
        <v>4</v>
      </c>
      <c r="F208" s="249">
        <v>0.79913519955123524</v>
      </c>
      <c r="G208" s="122">
        <v>0.75705922949617932</v>
      </c>
      <c r="H208" s="35"/>
      <c r="I208" s="5">
        <f t="shared" si="46"/>
        <v>30.093214285714296</v>
      </c>
      <c r="J208" s="1"/>
      <c r="K208" s="22"/>
      <c r="L208" s="98">
        <v>4</v>
      </c>
      <c r="M208" s="94">
        <f t="shared" si="47"/>
        <v>120.37285714285719</v>
      </c>
      <c r="N208" s="13"/>
      <c r="O208" s="84">
        <v>4</v>
      </c>
      <c r="P208" s="94">
        <f t="shared" si="43"/>
        <v>120.37285714285719</v>
      </c>
      <c r="Q208" s="254">
        <f t="shared" si="44"/>
        <v>1</v>
      </c>
      <c r="R208" s="254">
        <f t="shared" si="45"/>
        <v>0.75705922949617932</v>
      </c>
    </row>
    <row r="209" spans="1:19" ht="15" customHeight="1" x14ac:dyDescent="0.2">
      <c r="B209" s="268" t="s">
        <v>132</v>
      </c>
      <c r="E209" s="30">
        <v>5</v>
      </c>
      <c r="F209" s="250">
        <v>0.73573814569571261</v>
      </c>
      <c r="G209" s="123">
        <v>0.70687629692493703</v>
      </c>
      <c r="H209" s="35"/>
      <c r="I209" s="5">
        <f t="shared" si="46"/>
        <v>27.705857142857145</v>
      </c>
      <c r="J209" s="1"/>
      <c r="K209" s="22"/>
      <c r="L209" s="97">
        <v>5</v>
      </c>
      <c r="M209" s="93">
        <f t="shared" si="47"/>
        <v>138.52928571428572</v>
      </c>
      <c r="N209" s="13"/>
      <c r="O209" s="84">
        <v>5</v>
      </c>
      <c r="P209" s="93">
        <f t="shared" si="43"/>
        <v>138.52928571428575</v>
      </c>
      <c r="Q209" s="254">
        <f t="shared" si="44"/>
        <v>1.0000000000000002</v>
      </c>
      <c r="R209" s="254">
        <f t="shared" si="45"/>
        <v>0.70687629692493714</v>
      </c>
    </row>
    <row r="210" spans="1:19" ht="15" customHeight="1" x14ac:dyDescent="0.2">
      <c r="B210" s="42" t="s">
        <v>131</v>
      </c>
      <c r="E210" s="30">
        <v>10</v>
      </c>
      <c r="F210" s="249">
        <v>0.58779082179830544</v>
      </c>
      <c r="G210" s="122">
        <v>0.58088643631423431</v>
      </c>
      <c r="H210" s="35"/>
      <c r="I210" s="5">
        <f t="shared" si="46"/>
        <v>22.134571428571444</v>
      </c>
      <c r="J210" s="1"/>
      <c r="K210" s="22"/>
      <c r="L210" s="98">
        <v>10</v>
      </c>
      <c r="M210" s="94">
        <f t="shared" si="47"/>
        <v>221.34571428571445</v>
      </c>
      <c r="N210" s="13"/>
      <c r="O210" s="84">
        <v>10</v>
      </c>
      <c r="P210" s="94">
        <f t="shared" si="43"/>
        <v>221.34571428571439</v>
      </c>
      <c r="Q210" s="254">
        <f t="shared" si="44"/>
        <v>0.99999999999999978</v>
      </c>
      <c r="R210" s="254">
        <f t="shared" si="45"/>
        <v>0.5808864363142342</v>
      </c>
    </row>
    <row r="211" spans="1:19" ht="15" customHeight="1" x14ac:dyDescent="0.2">
      <c r="E211" s="30">
        <v>20</v>
      </c>
      <c r="F211" s="249">
        <v>0.49255772234809958</v>
      </c>
      <c r="G211" s="122">
        <v>0.49014118742867469</v>
      </c>
      <c r="H211" s="35"/>
      <c r="I211" s="5">
        <f t="shared" si="46"/>
        <v>18.548357142857146</v>
      </c>
      <c r="J211" s="1"/>
      <c r="K211" s="22"/>
      <c r="L211" s="98">
        <v>20</v>
      </c>
      <c r="M211" s="94">
        <f t="shared" si="47"/>
        <v>370.9671428571429</v>
      </c>
      <c r="N211" s="13"/>
      <c r="O211" s="84">
        <v>20</v>
      </c>
      <c r="P211" s="94">
        <f t="shared" si="43"/>
        <v>370.9671428571429</v>
      </c>
      <c r="Q211" s="254">
        <f t="shared" si="44"/>
        <v>1</v>
      </c>
      <c r="R211" s="254">
        <f t="shared" si="45"/>
        <v>0.49014118742867469</v>
      </c>
    </row>
    <row r="212" spans="1:19" ht="15" customHeight="1" x14ac:dyDescent="0.2">
      <c r="E212" s="30">
        <v>30</v>
      </c>
      <c r="F212" s="249">
        <v>0.4362370313440167</v>
      </c>
      <c r="G212" s="122">
        <v>0.43566166588701072</v>
      </c>
      <c r="H212" s="35"/>
      <c r="I212" s="5">
        <f t="shared" si="46"/>
        <v>16.427476190476195</v>
      </c>
      <c r="J212" s="1"/>
      <c r="K212" s="22"/>
      <c r="L212" s="98">
        <v>30</v>
      </c>
      <c r="M212" s="94">
        <f>L212*I212</f>
        <v>492.82428571428585</v>
      </c>
      <c r="N212" s="13"/>
      <c r="O212" s="84">
        <v>30</v>
      </c>
      <c r="P212" s="94">
        <f t="shared" si="43"/>
        <v>492.82428571428579</v>
      </c>
      <c r="Q212" s="254">
        <f t="shared" si="44"/>
        <v>0.99999999999999989</v>
      </c>
      <c r="R212" s="254">
        <f t="shared" si="45"/>
        <v>0.43566166588701066</v>
      </c>
    </row>
    <row r="213" spans="1:19" ht="15" customHeight="1" x14ac:dyDescent="0.2">
      <c r="E213" s="30">
        <v>40</v>
      </c>
      <c r="F213" s="249">
        <v>0.40152795208270198</v>
      </c>
      <c r="G213" s="122">
        <v>0.40169392288760747</v>
      </c>
      <c r="H213" s="35"/>
      <c r="I213" s="5">
        <f t="shared" si="46"/>
        <v>15.120428571428574</v>
      </c>
      <c r="J213" s="1"/>
      <c r="K213" s="22"/>
      <c r="L213" s="98">
        <v>40</v>
      </c>
      <c r="M213" s="94">
        <f t="shared" si="47"/>
        <v>604.81714285714293</v>
      </c>
      <c r="N213" s="13"/>
      <c r="O213" s="84">
        <v>40</v>
      </c>
      <c r="P213" s="126">
        <f t="shared" si="43"/>
        <v>604.81714285714293</v>
      </c>
      <c r="Q213" s="254">
        <f t="shared" si="44"/>
        <v>1</v>
      </c>
      <c r="R213" s="254">
        <f t="shared" si="45"/>
        <v>0.40169392288760747</v>
      </c>
    </row>
    <row r="214" spans="1:19" ht="15" customHeight="1" x14ac:dyDescent="0.2">
      <c r="E214" s="30">
        <v>50</v>
      </c>
      <c r="F214" s="250">
        <v>0.37928748486351826</v>
      </c>
      <c r="G214" s="123">
        <v>0.37931404019230319</v>
      </c>
      <c r="H214" s="36"/>
      <c r="I214" s="23">
        <f t="shared" si="46"/>
        <v>14.282914285714282</v>
      </c>
      <c r="J214" s="24"/>
      <c r="K214" s="17"/>
      <c r="L214" s="99">
        <v>50</v>
      </c>
      <c r="M214" s="100">
        <f>L214*I214</f>
        <v>714.14571428571412</v>
      </c>
      <c r="N214" s="16"/>
      <c r="O214" s="107">
        <v>50</v>
      </c>
      <c r="P214" s="127">
        <f t="shared" si="43"/>
        <v>714.14571428571412</v>
      </c>
      <c r="Q214" s="254">
        <f t="shared" si="44"/>
        <v>1</v>
      </c>
      <c r="R214" s="254">
        <f t="shared" si="45"/>
        <v>0.37931404019230319</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30.489285714285728</v>
      </c>
      <c r="G227" s="46">
        <f>F227/E227</f>
        <v>30.489285714285728</v>
      </c>
      <c r="H227" s="178">
        <f t="shared" ref="H227:H236" si="49">SQRT(12*32.2*G227^2/(4*$B$228*($B$227*56)*$B$226^2))</f>
        <v>0.8096338349057205</v>
      </c>
      <c r="I227" s="718"/>
      <c r="J227" s="178">
        <v>0.8096338349057205</v>
      </c>
      <c r="K227" s="544">
        <v>1</v>
      </c>
      <c r="L227" s="549">
        <f>J227*$L$225</f>
        <v>0.8096338349057205</v>
      </c>
      <c r="M227" s="5">
        <f>(B227*2.20462*25.4*12)</f>
        <v>3057.4552007999996</v>
      </c>
      <c r="N227" s="74">
        <f t="shared" ref="N227:N236" si="50">L227*B$226*SQRT(4*B$228*M$227/32.2)/12</f>
        <v>30.488563763008646</v>
      </c>
      <c r="O227" s="597">
        <f>K227*N227</f>
        <v>30.488563763008646</v>
      </c>
      <c r="P227" s="591">
        <f t="shared" ref="P227:P236" si="51">M157</f>
        <v>1.020990980438093</v>
      </c>
      <c r="Q227" s="60">
        <f>P227*O227</f>
        <v>31.128548608543511</v>
      </c>
      <c r="R227" s="166">
        <f>Q227-O227</f>
        <v>0.63998484553486534</v>
      </c>
      <c r="S227" s="169">
        <f>R227/O227</f>
        <v>2.0990980438092992E-2</v>
      </c>
    </row>
    <row r="228" spans="2:19" ht="15" customHeight="1" x14ac:dyDescent="0.2">
      <c r="B228" s="271">
        <f t="shared" si="48"/>
        <v>85</v>
      </c>
      <c r="C228" s="77" t="s">
        <v>1</v>
      </c>
      <c r="D228" s="17"/>
      <c r="E228" s="70">
        <v>2</v>
      </c>
      <c r="F228" s="54">
        <f t="shared" ref="F228:F236" si="52">F186</f>
        <v>59.742857142857105</v>
      </c>
      <c r="G228" s="45">
        <f t="shared" ref="G228:G236" si="53">F228/E228</f>
        <v>29.871428571428552</v>
      </c>
      <c r="H228" s="179">
        <f t="shared" si="49"/>
        <v>0.79322682384343901</v>
      </c>
      <c r="I228" s="718"/>
      <c r="J228" s="179">
        <v>0.79322682384343901</v>
      </c>
      <c r="K228" s="545">
        <v>2</v>
      </c>
      <c r="L228" s="550">
        <f t="shared" ref="L228:L236" si="54">J228*$L$225</f>
        <v>0.79322682384343901</v>
      </c>
      <c r="N228" s="73">
        <f t="shared" si="50"/>
        <v>29.870721250299173</v>
      </c>
      <c r="O228" s="598">
        <f t="shared" ref="O228:O235" si="55">K228*N228</f>
        <v>59.741442500598346</v>
      </c>
      <c r="P228" s="591">
        <f t="shared" si="51"/>
        <v>1.0300454328072692</v>
      </c>
      <c r="Q228" s="59">
        <f t="shared" ref="Q228:Q236" si="56">P228*O228</f>
        <v>61.536399997059412</v>
      </c>
      <c r="R228" s="167">
        <f t="shared" ref="R228:R236" si="57">Q228-O228</f>
        <v>1.7949574964610662</v>
      </c>
      <c r="S228" s="170">
        <f t="shared" ref="S228:S236" si="58">R228/O228</f>
        <v>3.0045432807269234E-2</v>
      </c>
    </row>
    <row r="229" spans="2:19" ht="15" customHeight="1" x14ac:dyDescent="0.2">
      <c r="E229" s="69">
        <v>3</v>
      </c>
      <c r="F229" s="50">
        <f t="shared" si="52"/>
        <v>81.885714285714272</v>
      </c>
      <c r="G229" s="44">
        <f t="shared" si="53"/>
        <v>27.295238095238091</v>
      </c>
      <c r="H229" s="180">
        <f t="shared" si="49"/>
        <v>0.72481685864348711</v>
      </c>
      <c r="I229" s="718"/>
      <c r="J229" s="180">
        <v>0.72481685864348711</v>
      </c>
      <c r="K229" s="546">
        <v>3</v>
      </c>
      <c r="L229" s="551">
        <f t="shared" si="54"/>
        <v>0.72481685864348711</v>
      </c>
      <c r="N229" s="72">
        <f t="shared" si="50"/>
        <v>27.294591775341136</v>
      </c>
      <c r="O229" s="599">
        <f>K229*N229</f>
        <v>81.883775326023411</v>
      </c>
      <c r="P229" s="591">
        <f t="shared" si="51"/>
        <v>1.0390177948360082</v>
      </c>
      <c r="Q229" s="58">
        <f t="shared" si="56"/>
        <v>85.078699672091986</v>
      </c>
      <c r="R229" s="168">
        <f>Q229-O229</f>
        <v>3.194924346068575</v>
      </c>
      <c r="S229" s="171">
        <f t="shared" si="58"/>
        <v>3.9017794836008236E-2</v>
      </c>
    </row>
    <row r="230" spans="2:19" ht="15" customHeight="1" x14ac:dyDescent="0.2">
      <c r="E230" s="69">
        <v>4</v>
      </c>
      <c r="F230" s="50">
        <f t="shared" si="52"/>
        <v>99.542857142857173</v>
      </c>
      <c r="G230" s="44">
        <f t="shared" si="53"/>
        <v>24.885714285714293</v>
      </c>
      <c r="H230" s="180">
        <f t="shared" si="49"/>
        <v>0.66083267677440083</v>
      </c>
      <c r="I230" s="718"/>
      <c r="J230" s="180">
        <v>0.66083267677440083</v>
      </c>
      <c r="K230" s="546">
        <v>4</v>
      </c>
      <c r="L230" s="551">
        <f t="shared" si="54"/>
        <v>0.66083267677440083</v>
      </c>
      <c r="N230" s="72">
        <f t="shared" si="50"/>
        <v>24.885125020574467</v>
      </c>
      <c r="O230" s="599">
        <f t="shared" si="55"/>
        <v>99.540500082297868</v>
      </c>
      <c r="P230" s="591">
        <f t="shared" si="51"/>
        <v>1.0485218140068886</v>
      </c>
      <c r="Q230" s="58">
        <f t="shared" si="56"/>
        <v>104.37038571344381</v>
      </c>
      <c r="R230" s="168">
        <f>Q230-O230</f>
        <v>4.8298856311459417</v>
      </c>
      <c r="S230" s="171">
        <f t="shared" si="58"/>
        <v>4.8521814006888653E-2</v>
      </c>
    </row>
    <row r="231" spans="2:19" ht="15" customHeight="1" x14ac:dyDescent="0.2">
      <c r="E231" s="70">
        <v>5</v>
      </c>
      <c r="F231" s="54">
        <f t="shared" si="52"/>
        <v>115.33928571428575</v>
      </c>
      <c r="G231" s="45">
        <f t="shared" si="53"/>
        <v>23.06785714285715</v>
      </c>
      <c r="H231" s="179">
        <f t="shared" si="49"/>
        <v>0.61256002572988733</v>
      </c>
      <c r="I231" s="718"/>
      <c r="J231" s="179">
        <v>0.61256002572988733</v>
      </c>
      <c r="K231" s="545">
        <v>5</v>
      </c>
      <c r="L231" s="550">
        <f t="shared" si="54"/>
        <v>0.61256002572988733</v>
      </c>
      <c r="N231" s="73">
        <f t="shared" si="50"/>
        <v>23.067310922487152</v>
      </c>
      <c r="O231" s="598">
        <f t="shared" si="55"/>
        <v>115.33655461243576</v>
      </c>
      <c r="P231" s="591">
        <f t="shared" si="51"/>
        <v>1.0580027868091035</v>
      </c>
      <c r="Q231" s="59">
        <f t="shared" si="56"/>
        <v>122.0263962009174</v>
      </c>
      <c r="R231" s="167">
        <f t="shared" si="57"/>
        <v>6.6898415884816416</v>
      </c>
      <c r="S231" s="170">
        <f t="shared" si="58"/>
        <v>5.8002786809103563E-2</v>
      </c>
    </row>
    <row r="232" spans="2:19" ht="15" customHeight="1" x14ac:dyDescent="0.2">
      <c r="E232" s="69">
        <v>10</v>
      </c>
      <c r="F232" s="50">
        <f t="shared" si="52"/>
        <v>184.54571428571435</v>
      </c>
      <c r="G232" s="44">
        <f t="shared" si="53"/>
        <v>18.454571428571434</v>
      </c>
      <c r="H232" s="180">
        <f t="shared" si="49"/>
        <v>0.49005560764104844</v>
      </c>
      <c r="I232" s="718"/>
      <c r="J232" s="180">
        <v>0.49005560764104844</v>
      </c>
      <c r="K232" s="547">
        <v>10</v>
      </c>
      <c r="L232" s="551">
        <f t="shared" si="54"/>
        <v>0.49005560764104844</v>
      </c>
      <c r="M232" s="41"/>
      <c r="N232" s="76">
        <f t="shared" si="50"/>
        <v>18.454134445510046</v>
      </c>
      <c r="O232" s="600">
        <f t="shared" si="55"/>
        <v>184.54134445510047</v>
      </c>
      <c r="P232" s="591">
        <f t="shared" si="51"/>
        <v>1.104039262435943</v>
      </c>
      <c r="Q232" s="58">
        <f t="shared" si="56"/>
        <v>203.74088982114642</v>
      </c>
      <c r="R232" s="168">
        <f t="shared" si="57"/>
        <v>19.199545366045953</v>
      </c>
      <c r="S232" s="171">
        <f t="shared" si="58"/>
        <v>0.104039262435943</v>
      </c>
    </row>
    <row r="233" spans="2:19" ht="15" customHeight="1" x14ac:dyDescent="0.2">
      <c r="E233" s="69">
        <v>20</v>
      </c>
      <c r="F233" s="50">
        <f t="shared" si="52"/>
        <v>306.41714285714289</v>
      </c>
      <c r="G233" s="44">
        <f t="shared" si="53"/>
        <v>15.320857142857145</v>
      </c>
      <c r="H233" s="180">
        <f t="shared" si="49"/>
        <v>0.40684076494458887</v>
      </c>
      <c r="I233" s="718"/>
      <c r="J233" s="180">
        <v>0.40684076494458887</v>
      </c>
      <c r="K233" s="546">
        <v>20</v>
      </c>
      <c r="L233" s="551">
        <f t="shared" si="54"/>
        <v>0.40684076494458887</v>
      </c>
      <c r="N233" s="72">
        <f t="shared" si="50"/>
        <v>15.320494362551832</v>
      </c>
      <c r="O233" s="599">
        <f t="shared" si="55"/>
        <v>306.40988725103665</v>
      </c>
      <c r="P233" s="591">
        <f t="shared" si="51"/>
        <v>1.1499589728288233</v>
      </c>
      <c r="Q233" s="58">
        <f t="shared" si="56"/>
        <v>352.35879920779769</v>
      </c>
      <c r="R233" s="168">
        <f t="shared" si="57"/>
        <v>45.948911956761037</v>
      </c>
      <c r="S233" s="171">
        <f t="shared" si="58"/>
        <v>0.14995897282882337</v>
      </c>
    </row>
    <row r="234" spans="2:19" ht="15" customHeight="1" x14ac:dyDescent="0.2">
      <c r="E234" s="69">
        <v>30</v>
      </c>
      <c r="F234" s="50">
        <f t="shared" si="52"/>
        <v>411.92428571428576</v>
      </c>
      <c r="G234" s="44">
        <f t="shared" si="53"/>
        <v>13.730809523809524</v>
      </c>
      <c r="H234" s="180">
        <f t="shared" si="49"/>
        <v>0.36461752745860715</v>
      </c>
      <c r="I234" s="718"/>
      <c r="J234" s="180">
        <v>0.36461752745860715</v>
      </c>
      <c r="K234" s="546">
        <v>30</v>
      </c>
      <c r="L234" s="551">
        <f t="shared" si="54"/>
        <v>0.36461752745860715</v>
      </c>
      <c r="N234" s="72">
        <f t="shared" si="50"/>
        <v>13.730484394006092</v>
      </c>
      <c r="O234" s="599">
        <f t="shared" si="55"/>
        <v>411.91453182018279</v>
      </c>
      <c r="P234" s="591">
        <f t="shared" si="51"/>
        <v>1.1500275709475043</v>
      </c>
      <c r="Q234" s="58">
        <f t="shared" si="56"/>
        <v>473.71306846714327</v>
      </c>
      <c r="R234" s="168">
        <f t="shared" si="57"/>
        <v>61.798536646960486</v>
      </c>
      <c r="S234" s="171">
        <f t="shared" si="58"/>
        <v>0.1500275709475043</v>
      </c>
    </row>
    <row r="235" spans="2:19" ht="15" customHeight="1" x14ac:dyDescent="0.2">
      <c r="E235" s="69">
        <v>40</v>
      </c>
      <c r="F235" s="50">
        <f t="shared" si="52"/>
        <v>508.11714285714288</v>
      </c>
      <c r="G235" s="44">
        <f t="shared" si="53"/>
        <v>12.702928571428572</v>
      </c>
      <c r="H235" s="180">
        <f t="shared" si="49"/>
        <v>0.33732245714763542</v>
      </c>
      <c r="I235" s="718"/>
      <c r="J235" s="180">
        <v>0.33732245714763542</v>
      </c>
      <c r="K235" s="546">
        <v>40</v>
      </c>
      <c r="L235" s="551">
        <f t="shared" si="54"/>
        <v>0.33732245714763542</v>
      </c>
      <c r="N235" s="72">
        <f t="shared" si="50"/>
        <v>12.702627780665852</v>
      </c>
      <c r="O235" s="599">
        <f t="shared" si="55"/>
        <v>508.10511122663405</v>
      </c>
      <c r="P235" s="591">
        <f t="shared" si="51"/>
        <v>1.149965418548029</v>
      </c>
      <c r="Q235" s="58">
        <f t="shared" si="56"/>
        <v>584.30330689812911</v>
      </c>
      <c r="R235" s="168">
        <f t="shared" si="57"/>
        <v>76.198195671495057</v>
      </c>
      <c r="S235" s="171">
        <f t="shared" si="58"/>
        <v>0.14996541854802911</v>
      </c>
    </row>
    <row r="236" spans="2:19" ht="15" customHeight="1" thickBot="1" x14ac:dyDescent="0.25">
      <c r="E236" s="70">
        <v>50</v>
      </c>
      <c r="F236" s="54">
        <f t="shared" si="52"/>
        <v>602.04571428571421</v>
      </c>
      <c r="G236" s="45">
        <f t="shared" si="53"/>
        <v>12.040914285714285</v>
      </c>
      <c r="H236" s="179">
        <f t="shared" si="49"/>
        <v>0.31974286640458</v>
      </c>
      <c r="I236" s="718"/>
      <c r="J236" s="179">
        <v>0.31974286640458</v>
      </c>
      <c r="K236" s="555">
        <v>50</v>
      </c>
      <c r="L236" s="556">
        <f t="shared" si="54"/>
        <v>0.31974286640458</v>
      </c>
      <c r="N236" s="557">
        <f t="shared" si="50"/>
        <v>12.040629170689707</v>
      </c>
      <c r="O236" s="601">
        <f>K236*N236</f>
        <v>602.0314585344853</v>
      </c>
      <c r="P236" s="592">
        <f t="shared" si="51"/>
        <v>1.1499886102621537</v>
      </c>
      <c r="Q236" s="59">
        <f t="shared" si="56"/>
        <v>692.32932033417012</v>
      </c>
      <c r="R236" s="167">
        <f t="shared" si="57"/>
        <v>90.297861799684824</v>
      </c>
      <c r="S236" s="170">
        <f t="shared" si="58"/>
        <v>0.14998861026215363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0.64</v>
      </c>
      <c r="S241" s="327">
        <f>R241/R227</f>
        <v>1.0000236794124742</v>
      </c>
    </row>
    <row r="242" spans="1:19" ht="15" customHeight="1" x14ac:dyDescent="0.2">
      <c r="E242" s="323"/>
      <c r="F242" s="324"/>
      <c r="G242" s="323"/>
      <c r="H242" s="325"/>
      <c r="I242" s="41"/>
      <c r="J242" s="325"/>
      <c r="K242" s="323"/>
      <c r="L242" s="325"/>
      <c r="M242" s="41"/>
      <c r="N242" s="324"/>
      <c r="O242" s="324"/>
      <c r="P242" s="326"/>
      <c r="Q242" s="324"/>
      <c r="R242" s="167">
        <f t="shared" si="59"/>
        <v>1.7949999999999999</v>
      </c>
      <c r="S242" s="327">
        <f t="shared" ref="S242:S250" si="60">R242/R228</f>
        <v>1.0000236794124751</v>
      </c>
    </row>
    <row r="243" spans="1:19" ht="15" customHeight="1" x14ac:dyDescent="0.2">
      <c r="R243" s="168">
        <f t="shared" si="59"/>
        <v>3.1949999999999998</v>
      </c>
      <c r="S243" s="327">
        <f t="shared" si="60"/>
        <v>1.0000236794124775</v>
      </c>
    </row>
    <row r="244" spans="1:19" ht="15" customHeight="1" x14ac:dyDescent="0.2">
      <c r="R244" s="168">
        <f t="shared" si="59"/>
        <v>4.83</v>
      </c>
      <c r="S244" s="327">
        <f t="shared" si="60"/>
        <v>1.0000236794124733</v>
      </c>
    </row>
    <row r="245" spans="1:19" ht="15" customHeight="1" x14ac:dyDescent="0.2">
      <c r="R245" s="167">
        <f t="shared" si="59"/>
        <v>6.69</v>
      </c>
      <c r="S245" s="327">
        <f t="shared" si="60"/>
        <v>1.0000236794124739</v>
      </c>
    </row>
    <row r="246" spans="1:19" ht="15" customHeight="1" x14ac:dyDescent="0.2">
      <c r="R246" s="168">
        <f t="shared" si="59"/>
        <v>19.2</v>
      </c>
      <c r="S246" s="327">
        <f t="shared" si="60"/>
        <v>1.0000236794124746</v>
      </c>
    </row>
    <row r="247" spans="1:19" ht="15" customHeight="1" x14ac:dyDescent="0.2">
      <c r="F247" s="41"/>
      <c r="G247" s="41"/>
      <c r="H247" s="41"/>
      <c r="I247" s="41"/>
      <c r="J247" s="41"/>
      <c r="K247" s="41"/>
      <c r="L247" s="41"/>
      <c r="M247" s="41"/>
      <c r="N247" s="41"/>
      <c r="O247" s="41"/>
      <c r="P247" s="41"/>
      <c r="R247" s="168">
        <f t="shared" si="59"/>
        <v>45.95</v>
      </c>
      <c r="S247" s="327">
        <f t="shared" si="60"/>
        <v>1.0000236794124742</v>
      </c>
    </row>
    <row r="248" spans="1:19" ht="15" customHeight="1" x14ac:dyDescent="0.2">
      <c r="B248" s="90"/>
      <c r="R248" s="168">
        <f t="shared" si="59"/>
        <v>61.8</v>
      </c>
      <c r="S248" s="327">
        <f t="shared" si="60"/>
        <v>1.0000236794124733</v>
      </c>
    </row>
    <row r="249" spans="1:19" ht="15" customHeight="1" x14ac:dyDescent="0.2">
      <c r="A249" s="90" t="s">
        <v>95</v>
      </c>
      <c r="B249" s="64" t="s">
        <v>178</v>
      </c>
      <c r="R249" s="168">
        <f t="shared" si="59"/>
        <v>76.2</v>
      </c>
      <c r="S249" s="327">
        <f t="shared" si="60"/>
        <v>1.0000236794124722</v>
      </c>
    </row>
    <row r="250" spans="1:19" ht="15" customHeight="1" x14ac:dyDescent="0.2">
      <c r="R250" s="167">
        <f t="shared" si="59"/>
        <v>90.3</v>
      </c>
      <c r="S250" s="327">
        <f t="shared" si="60"/>
        <v>1.0000236794124751</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0.64</v>
      </c>
      <c r="G257" s="49">
        <f>F257/E257</f>
        <v>0.64</v>
      </c>
      <c r="H257" s="178">
        <f>SQRT(12*32.2*G257^2/(4*$B$258*($B$257*56)*$B$256^2))</f>
        <v>1.6995007990524197E-2</v>
      </c>
      <c r="I257" s="718"/>
      <c r="J257" s="178">
        <v>1.6995007990524197E-2</v>
      </c>
      <c r="K257" s="544">
        <v>1</v>
      </c>
      <c r="L257" s="549">
        <f>J257*$L$255</f>
        <v>1.6995007990524197E-2</v>
      </c>
      <c r="M257" s="5">
        <f>(B257*2.20462*25.4*12)</f>
        <v>3057.4552007999996</v>
      </c>
      <c r="N257" s="74">
        <f>L257*B$256*SQRT(4*B$258*M$257/32.2)/12</f>
        <v>0.63998484553486568</v>
      </c>
      <c r="O257" s="218">
        <f>K257*N257</f>
        <v>0.63998484553486568</v>
      </c>
      <c r="Q257" s="218">
        <f t="shared" ref="Q257:Q266" si="61">E157</f>
        <v>0.64</v>
      </c>
      <c r="R257" s="327">
        <f>Q257/O257</f>
        <v>1.0000236794124737</v>
      </c>
    </row>
    <row r="258" spans="2:18" ht="15" customHeight="1" x14ac:dyDescent="0.2">
      <c r="B258" s="271">
        <f>D207</f>
        <v>85</v>
      </c>
      <c r="C258" s="77" t="s">
        <v>1</v>
      </c>
      <c r="D258" s="17"/>
      <c r="E258" s="70">
        <v>2</v>
      </c>
      <c r="F258" s="167">
        <f t="shared" ref="F258:F266" si="62">G186</f>
        <v>1.7949999999999999</v>
      </c>
      <c r="G258" s="48">
        <f t="shared" ref="G258:G266" si="63">F258/E258</f>
        <v>0.89749999999999996</v>
      </c>
      <c r="H258" s="179">
        <f t="shared" ref="H258:H266" si="64">SQRT(12*32.2*G258^2/(4*$B$258*($B$257*56)*$B$256^2))</f>
        <v>2.3832843236711664E-2</v>
      </c>
      <c r="I258" s="718"/>
      <c r="J258" s="179">
        <v>2.3832843236711664E-2</v>
      </c>
      <c r="K258" s="545">
        <v>2</v>
      </c>
      <c r="L258" s="550">
        <f t="shared" ref="L258:L266" si="65">J258*$L$255</f>
        <v>2.3832843236711664E-2</v>
      </c>
      <c r="N258" s="73">
        <f t="shared" ref="N258:N266" si="66">L258*B$256*SQRT(4*B$258*M$257/32.2)/12</f>
        <v>0.89747874823053408</v>
      </c>
      <c r="O258" s="219">
        <f t="shared" ref="O258" si="67">K258*N258</f>
        <v>1.7949574964610682</v>
      </c>
      <c r="Q258" s="219">
        <f t="shared" si="61"/>
        <v>1.7949999999999999</v>
      </c>
      <c r="R258" s="327">
        <f t="shared" ref="R258:R266" si="68">Q258/O258</f>
        <v>1.0000236794124739</v>
      </c>
    </row>
    <row r="259" spans="2:18" ht="15" customHeight="1" x14ac:dyDescent="0.2">
      <c r="E259" s="69">
        <v>3</v>
      </c>
      <c r="F259" s="168">
        <f t="shared" si="62"/>
        <v>3.1949999999999998</v>
      </c>
      <c r="G259" s="47">
        <f t="shared" si="63"/>
        <v>1.0649999999999999</v>
      </c>
      <c r="H259" s="180">
        <f t="shared" si="64"/>
        <v>2.8280755484231666E-2</v>
      </c>
      <c r="I259" s="718"/>
      <c r="J259" s="180">
        <v>2.8280755484231666E-2</v>
      </c>
      <c r="K259" s="546">
        <v>3</v>
      </c>
      <c r="L259" s="551">
        <f t="shared" si="65"/>
        <v>2.8280755484231666E-2</v>
      </c>
      <c r="N259" s="72">
        <f t="shared" si="66"/>
        <v>1.0649747820228621</v>
      </c>
      <c r="O259" s="220">
        <f>K259*N259</f>
        <v>3.1949243460685866</v>
      </c>
      <c r="Q259" s="220">
        <f t="shared" si="61"/>
        <v>3.1949999999999998</v>
      </c>
      <c r="R259" s="327">
        <f t="shared" si="68"/>
        <v>1.0000236794124739</v>
      </c>
    </row>
    <row r="260" spans="2:18" ht="15" customHeight="1" x14ac:dyDescent="0.2">
      <c r="E260" s="69">
        <v>4</v>
      </c>
      <c r="F260" s="168">
        <f t="shared" si="62"/>
        <v>4.83</v>
      </c>
      <c r="G260" s="47">
        <f t="shared" si="63"/>
        <v>1.2075</v>
      </c>
      <c r="H260" s="180">
        <f t="shared" si="64"/>
        <v>3.2064800232121819E-2</v>
      </c>
      <c r="I260" s="718"/>
      <c r="J260" s="180">
        <v>3.2064800232121819E-2</v>
      </c>
      <c r="K260" s="546">
        <v>4</v>
      </c>
      <c r="L260" s="551">
        <f t="shared" si="65"/>
        <v>3.2064800232121819E-2</v>
      </c>
      <c r="N260" s="72">
        <f t="shared" si="66"/>
        <v>1.2074714077864845</v>
      </c>
      <c r="O260" s="220">
        <f t="shared" ref="O260:O266" si="69">K260*N260</f>
        <v>4.8298856311459382</v>
      </c>
      <c r="Q260" s="220">
        <f t="shared" si="61"/>
        <v>4.83</v>
      </c>
      <c r="R260" s="327">
        <f t="shared" si="68"/>
        <v>1.0000236794124739</v>
      </c>
    </row>
    <row r="261" spans="2:18" ht="15" customHeight="1" x14ac:dyDescent="0.2">
      <c r="E261" s="70">
        <v>5</v>
      </c>
      <c r="F261" s="167">
        <f t="shared" si="62"/>
        <v>6.69</v>
      </c>
      <c r="G261" s="48">
        <f t="shared" si="63"/>
        <v>1.3380000000000001</v>
      </c>
      <c r="H261" s="179">
        <f t="shared" si="64"/>
        <v>3.5530188580189644E-2</v>
      </c>
      <c r="I261" s="718"/>
      <c r="J261" s="179">
        <v>3.5530188580189644E-2</v>
      </c>
      <c r="K261" s="545">
        <v>5</v>
      </c>
      <c r="L261" s="550">
        <f t="shared" si="65"/>
        <v>3.5530188580189644E-2</v>
      </c>
      <c r="N261" s="73">
        <f t="shared" si="66"/>
        <v>1.3379683176963282</v>
      </c>
      <c r="O261" s="219">
        <f t="shared" si="69"/>
        <v>6.6898415884816407</v>
      </c>
      <c r="Q261" s="219">
        <f t="shared" si="61"/>
        <v>6.69</v>
      </c>
      <c r="R261" s="327">
        <f t="shared" si="68"/>
        <v>1.0000236794124739</v>
      </c>
    </row>
    <row r="262" spans="2:18" ht="15" customHeight="1" x14ac:dyDescent="0.2">
      <c r="E262" s="69">
        <v>10</v>
      </c>
      <c r="F262" s="168">
        <f t="shared" si="62"/>
        <v>19.2</v>
      </c>
      <c r="G262" s="47">
        <f t="shared" si="63"/>
        <v>1.92</v>
      </c>
      <c r="H262" s="180">
        <f t="shared" si="64"/>
        <v>5.0985023971572584E-2</v>
      </c>
      <c r="I262" s="718"/>
      <c r="J262" s="180">
        <v>5.0985023971572584E-2</v>
      </c>
      <c r="K262" s="547">
        <v>10</v>
      </c>
      <c r="L262" s="551">
        <f t="shared" si="65"/>
        <v>5.0985023971572584E-2</v>
      </c>
      <c r="M262" s="41"/>
      <c r="N262" s="76">
        <f t="shared" si="66"/>
        <v>1.9199545366045967</v>
      </c>
      <c r="O262" s="221">
        <f t="shared" si="69"/>
        <v>19.199545366045967</v>
      </c>
      <c r="Q262" s="221">
        <f t="shared" si="61"/>
        <v>19.2</v>
      </c>
      <c r="R262" s="327">
        <f t="shared" si="68"/>
        <v>1.0000236794124737</v>
      </c>
    </row>
    <row r="263" spans="2:18" ht="15" customHeight="1" x14ac:dyDescent="0.2">
      <c r="E263" s="69">
        <v>20</v>
      </c>
      <c r="F263" s="168">
        <f t="shared" si="62"/>
        <v>45.95</v>
      </c>
      <c r="G263" s="47">
        <f t="shared" si="63"/>
        <v>2.2975000000000003</v>
      </c>
      <c r="H263" s="180">
        <f t="shared" si="64"/>
        <v>6.1009423215983349E-2</v>
      </c>
      <c r="I263" s="718"/>
      <c r="J263" s="180">
        <v>6.1009423215983349E-2</v>
      </c>
      <c r="K263" s="546">
        <v>20</v>
      </c>
      <c r="L263" s="551">
        <f t="shared" si="65"/>
        <v>6.1009423215983349E-2</v>
      </c>
      <c r="N263" s="72">
        <f t="shared" si="66"/>
        <v>2.297445597838053</v>
      </c>
      <c r="O263" s="220">
        <f t="shared" si="69"/>
        <v>45.948911956761059</v>
      </c>
      <c r="Q263" s="220">
        <f t="shared" si="61"/>
        <v>45.95</v>
      </c>
      <c r="R263" s="327">
        <f t="shared" si="68"/>
        <v>1.0000236794124737</v>
      </c>
    </row>
    <row r="264" spans="2:18" ht="15" customHeight="1" x14ac:dyDescent="0.2">
      <c r="E264" s="69">
        <v>30</v>
      </c>
      <c r="F264" s="168">
        <f t="shared" si="62"/>
        <v>61.8</v>
      </c>
      <c r="G264" s="47">
        <f t="shared" si="63"/>
        <v>2.06</v>
      </c>
      <c r="H264" s="180">
        <f t="shared" si="64"/>
        <v>5.4702681969499747E-2</v>
      </c>
      <c r="I264" s="718"/>
      <c r="J264" s="180">
        <v>5.4702681969499747E-2</v>
      </c>
      <c r="K264" s="546">
        <v>30</v>
      </c>
      <c r="L264" s="551">
        <f t="shared" si="65"/>
        <v>5.4702681969499747E-2</v>
      </c>
      <c r="N264" s="72">
        <f t="shared" si="66"/>
        <v>2.0599512215653486</v>
      </c>
      <c r="O264" s="220">
        <f t="shared" si="69"/>
        <v>61.798536646960457</v>
      </c>
      <c r="Q264" s="220">
        <f t="shared" si="61"/>
        <v>61.8</v>
      </c>
      <c r="R264" s="327">
        <f t="shared" si="68"/>
        <v>1.0000236794124737</v>
      </c>
    </row>
    <row r="265" spans="2:18" ht="15" customHeight="1" x14ac:dyDescent="0.2">
      <c r="E265" s="69">
        <v>40</v>
      </c>
      <c r="F265" s="168">
        <f t="shared" si="62"/>
        <v>76.2</v>
      </c>
      <c r="G265" s="47">
        <f t="shared" si="63"/>
        <v>1.905</v>
      </c>
      <c r="H265" s="180">
        <f t="shared" si="64"/>
        <v>5.0586703471794676E-2</v>
      </c>
      <c r="I265" s="718"/>
      <c r="J265" s="180">
        <v>5.0586703471794676E-2</v>
      </c>
      <c r="K265" s="546">
        <v>40</v>
      </c>
      <c r="L265" s="551">
        <f t="shared" si="65"/>
        <v>5.0586703471794676E-2</v>
      </c>
      <c r="N265" s="72">
        <f t="shared" si="66"/>
        <v>1.9049548917873735</v>
      </c>
      <c r="O265" s="220">
        <f t="shared" si="69"/>
        <v>76.198195671494943</v>
      </c>
      <c r="Q265" s="220">
        <f t="shared" si="61"/>
        <v>76.2</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22" t="s">
        <v>715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41.129285714285729</v>
      </c>
      <c r="D288" s="162">
        <f t="shared" si="70"/>
        <v>112.12928571428573</v>
      </c>
      <c r="E288" s="162">
        <f t="shared" si="70"/>
        <v>31.129285714285729</v>
      </c>
      <c r="F288" s="162">
        <f>G288+J288</f>
        <v>36.489285714285728</v>
      </c>
      <c r="G288" s="162">
        <f t="shared" ref="G288:H297" si="71">F185</f>
        <v>30.489285714285728</v>
      </c>
      <c r="H288" s="887">
        <f t="shared" si="71"/>
        <v>0.64</v>
      </c>
      <c r="I288" s="162">
        <f>M185</f>
        <v>75</v>
      </c>
      <c r="J288" s="162">
        <f t="shared" ref="J288:J297" si="72">L185</f>
        <v>6</v>
      </c>
      <c r="K288" s="886">
        <f>H288/G288</f>
        <v>2.0990980438092999E-2</v>
      </c>
      <c r="L288" s="889">
        <f t="shared" ref="L288:L297" si="73">F205</f>
        <v>1.0922017048304595</v>
      </c>
      <c r="M288" s="889">
        <f t="shared" ref="M288:M297" si="74">H227</f>
        <v>0.8096338349057205</v>
      </c>
      <c r="N288" s="889">
        <f t="shared" ref="N288:N297" si="75">H257</f>
        <v>1.6995007990524197E-2</v>
      </c>
      <c r="O288" s="40"/>
      <c r="P288" s="920">
        <f>L288</f>
        <v>1.0922017048304595</v>
      </c>
    </row>
    <row r="289" spans="1:22" ht="15" customHeight="1" x14ac:dyDescent="0.2">
      <c r="A289" s="35"/>
      <c r="B289" s="449">
        <v>2</v>
      </c>
      <c r="C289" s="127">
        <f t="shared" si="70"/>
        <v>74.537857142857092</v>
      </c>
      <c r="D289" s="127">
        <f t="shared" si="70"/>
        <v>145.53785714285709</v>
      </c>
      <c r="E289" s="127">
        <f t="shared" si="70"/>
        <v>61.537857142857106</v>
      </c>
      <c r="F289" s="127">
        <f t="shared" ref="F289:F297" si="76">G289+J289</f>
        <v>68.742857142857105</v>
      </c>
      <c r="G289" s="127">
        <f t="shared" si="71"/>
        <v>59.742857142857105</v>
      </c>
      <c r="H289" s="460">
        <f t="shared" si="71"/>
        <v>1.7949999999999999</v>
      </c>
      <c r="I289" s="127">
        <f t="shared" ref="I289:I297" si="77">M186</f>
        <v>75</v>
      </c>
      <c r="J289" s="127">
        <f t="shared" si="72"/>
        <v>9</v>
      </c>
      <c r="K289" s="885">
        <f t="shared" ref="K289:K297" si="78">H289/G289</f>
        <v>3.0045432807269266E-2</v>
      </c>
      <c r="L289" s="585">
        <f t="shared" si="73"/>
        <v>0.98968865167479603</v>
      </c>
      <c r="M289" s="585">
        <f t="shared" si="74"/>
        <v>0.79322682384343901</v>
      </c>
      <c r="N289" s="585">
        <f t="shared" si="75"/>
        <v>2.3832843236711664E-2</v>
      </c>
      <c r="O289" s="1"/>
      <c r="P289" s="469">
        <f t="shared" ref="P289:P297" si="79">L289</f>
        <v>0.98968865167479603</v>
      </c>
    </row>
    <row r="290" spans="1:22" ht="15" customHeight="1" x14ac:dyDescent="0.2">
      <c r="A290" s="35"/>
      <c r="B290" s="449">
        <v>3</v>
      </c>
      <c r="C290" s="463">
        <f t="shared" si="70"/>
        <v>99.880714285714276</v>
      </c>
      <c r="D290" s="463">
        <f t="shared" si="70"/>
        <v>170.88071428571428</v>
      </c>
      <c r="E290" s="463">
        <f t="shared" si="70"/>
        <v>85.080714285714265</v>
      </c>
      <c r="F290" s="463">
        <f t="shared" si="76"/>
        <v>92.685714285714269</v>
      </c>
      <c r="G290" s="463">
        <f t="shared" si="71"/>
        <v>81.885714285714272</v>
      </c>
      <c r="H290" s="464">
        <f t="shared" si="71"/>
        <v>3.1949999999999998</v>
      </c>
      <c r="I290" s="463">
        <f t="shared" si="77"/>
        <v>75</v>
      </c>
      <c r="J290" s="463">
        <f t="shared" si="72"/>
        <v>10.8</v>
      </c>
      <c r="K290" s="886">
        <f t="shared" si="78"/>
        <v>3.9017794836008382E-2</v>
      </c>
      <c r="L290" s="586">
        <f t="shared" si="73"/>
        <v>0.88412173570887154</v>
      </c>
      <c r="M290" s="586">
        <f t="shared" si="74"/>
        <v>0.72481685864348711</v>
      </c>
      <c r="N290" s="586">
        <f t="shared" si="75"/>
        <v>2.8280755484231666E-2</v>
      </c>
      <c r="O290" s="1"/>
      <c r="P290" s="470">
        <f t="shared" si="79"/>
        <v>0.88412173570887154</v>
      </c>
    </row>
    <row r="291" spans="1:22" ht="15" customHeight="1" x14ac:dyDescent="0.2">
      <c r="A291" s="35"/>
      <c r="B291" s="449">
        <v>4</v>
      </c>
      <c r="C291" s="463">
        <f t="shared" si="70"/>
        <v>120.37285714285719</v>
      </c>
      <c r="D291" s="463">
        <f t="shared" si="70"/>
        <v>191.37285714285719</v>
      </c>
      <c r="E291" s="463">
        <f t="shared" si="70"/>
        <v>104.37285714285717</v>
      </c>
      <c r="F291" s="463">
        <f t="shared" si="76"/>
        <v>111.54285714285717</v>
      </c>
      <c r="G291" s="463">
        <f t="shared" si="71"/>
        <v>99.542857142857173</v>
      </c>
      <c r="H291" s="464">
        <f t="shared" si="71"/>
        <v>4.83</v>
      </c>
      <c r="I291" s="463">
        <f t="shared" si="77"/>
        <v>75</v>
      </c>
      <c r="J291" s="463">
        <f t="shared" si="72"/>
        <v>12</v>
      </c>
      <c r="K291" s="886">
        <f t="shared" si="78"/>
        <v>4.8521814006888618E-2</v>
      </c>
      <c r="L291" s="586">
        <f t="shared" si="73"/>
        <v>0.79913519955123524</v>
      </c>
      <c r="M291" s="586">
        <f t="shared" si="74"/>
        <v>0.66083267677440083</v>
      </c>
      <c r="N291" s="586">
        <f t="shared" si="75"/>
        <v>3.2064800232121819E-2</v>
      </c>
      <c r="O291" s="1"/>
      <c r="P291" s="470">
        <f t="shared" si="79"/>
        <v>0.79913519955123524</v>
      </c>
    </row>
    <row r="292" spans="1:22" ht="15" customHeight="1" x14ac:dyDescent="0.2">
      <c r="A292" s="35"/>
      <c r="B292" s="449">
        <v>5</v>
      </c>
      <c r="C292" s="127">
        <f t="shared" si="70"/>
        <v>138.52928571428575</v>
      </c>
      <c r="D292" s="127">
        <f t="shared" si="70"/>
        <v>209.52928571428575</v>
      </c>
      <c r="E292" s="127">
        <f t="shared" si="70"/>
        <v>122.02928571428575</v>
      </c>
      <c r="F292" s="127">
        <f t="shared" si="76"/>
        <v>127.83928571428575</v>
      </c>
      <c r="G292" s="127">
        <f t="shared" si="71"/>
        <v>115.33928571428575</v>
      </c>
      <c r="H292" s="460">
        <f t="shared" si="71"/>
        <v>6.69</v>
      </c>
      <c r="I292" s="127">
        <f t="shared" si="77"/>
        <v>75</v>
      </c>
      <c r="J292" s="127">
        <f t="shared" si="72"/>
        <v>12.5</v>
      </c>
      <c r="K292" s="885">
        <f t="shared" si="78"/>
        <v>5.8002786809103563E-2</v>
      </c>
      <c r="L292" s="585">
        <f t="shared" si="73"/>
        <v>0.73573814569571261</v>
      </c>
      <c r="M292" s="585">
        <f t="shared" si="74"/>
        <v>0.61256002572988733</v>
      </c>
      <c r="N292" s="585">
        <f t="shared" si="75"/>
        <v>3.5530188580189644E-2</v>
      </c>
      <c r="O292" s="1"/>
      <c r="P292" s="921">
        <f>L292</f>
        <v>0.73573814569571261</v>
      </c>
    </row>
    <row r="293" spans="1:22" ht="15" customHeight="1" x14ac:dyDescent="0.2">
      <c r="A293" s="35"/>
      <c r="B293" s="449">
        <v>10</v>
      </c>
      <c r="C293" s="463">
        <f t="shared" si="70"/>
        <v>221.34571428571439</v>
      </c>
      <c r="D293" s="463">
        <f t="shared" si="70"/>
        <v>292.34571428571439</v>
      </c>
      <c r="E293" s="463">
        <f t="shared" si="70"/>
        <v>203.74571428571434</v>
      </c>
      <c r="F293" s="463">
        <f t="shared" si="76"/>
        <v>198.14571428571435</v>
      </c>
      <c r="G293" s="463">
        <f t="shared" si="71"/>
        <v>184.54571428571435</v>
      </c>
      <c r="H293" s="464">
        <f t="shared" si="71"/>
        <v>19.2</v>
      </c>
      <c r="I293" s="463">
        <f t="shared" si="77"/>
        <v>75</v>
      </c>
      <c r="J293" s="463">
        <f t="shared" si="72"/>
        <v>13.6</v>
      </c>
      <c r="K293" s="886">
        <f t="shared" si="78"/>
        <v>0.10403926243594304</v>
      </c>
      <c r="L293" s="586">
        <f t="shared" si="73"/>
        <v>0.58779082179830544</v>
      </c>
      <c r="M293" s="586">
        <f t="shared" si="74"/>
        <v>0.49005560764104844</v>
      </c>
      <c r="N293" s="586">
        <f t="shared" si="75"/>
        <v>5.0985023971572584E-2</v>
      </c>
      <c r="O293" s="1"/>
      <c r="P293" s="470">
        <f t="shared" si="79"/>
        <v>0.58779082179830544</v>
      </c>
    </row>
    <row r="294" spans="1:22" ht="15" customHeight="1" x14ac:dyDescent="0.2">
      <c r="A294" s="35"/>
      <c r="B294" s="449">
        <v>20</v>
      </c>
      <c r="C294" s="463">
        <f t="shared" si="70"/>
        <v>370.9671428571429</v>
      </c>
      <c r="D294" s="463">
        <f t="shared" si="70"/>
        <v>441.9671428571429</v>
      </c>
      <c r="E294" s="463">
        <f t="shared" si="70"/>
        <v>352.36714285714288</v>
      </c>
      <c r="F294" s="463">
        <f t="shared" si="76"/>
        <v>321.01714285714291</v>
      </c>
      <c r="G294" s="463">
        <f t="shared" si="71"/>
        <v>306.41714285714289</v>
      </c>
      <c r="H294" s="464">
        <f t="shared" si="71"/>
        <v>45.95</v>
      </c>
      <c r="I294" s="463">
        <f t="shared" si="77"/>
        <v>75</v>
      </c>
      <c r="J294" s="463">
        <f t="shared" si="72"/>
        <v>14.6</v>
      </c>
      <c r="K294" s="886">
        <f t="shared" si="78"/>
        <v>0.14995897282882345</v>
      </c>
      <c r="L294" s="586">
        <f t="shared" si="73"/>
        <v>0.49255772234809958</v>
      </c>
      <c r="M294" s="586">
        <f t="shared" si="74"/>
        <v>0.40684076494458887</v>
      </c>
      <c r="N294" s="586">
        <f t="shared" si="75"/>
        <v>6.1009423215983349E-2</v>
      </c>
      <c r="O294" s="1"/>
      <c r="P294" s="470">
        <f t="shared" si="79"/>
        <v>0.49255772234809958</v>
      </c>
    </row>
    <row r="295" spans="1:22" ht="15" customHeight="1" x14ac:dyDescent="0.2">
      <c r="A295" s="35"/>
      <c r="B295" s="449">
        <v>30</v>
      </c>
      <c r="C295" s="463">
        <f t="shared" si="70"/>
        <v>492.82428571428579</v>
      </c>
      <c r="D295" s="463">
        <f t="shared" si="70"/>
        <v>563.82428571428579</v>
      </c>
      <c r="E295" s="463">
        <f t="shared" si="70"/>
        <v>473.72428571428577</v>
      </c>
      <c r="F295" s="463">
        <f t="shared" si="76"/>
        <v>427.02428571428578</v>
      </c>
      <c r="G295" s="463">
        <f t="shared" si="71"/>
        <v>411.92428571428576</v>
      </c>
      <c r="H295" s="464">
        <f t="shared" si="71"/>
        <v>61.8</v>
      </c>
      <c r="I295" s="463">
        <f t="shared" si="77"/>
        <v>75</v>
      </c>
      <c r="J295" s="463">
        <f t="shared" si="72"/>
        <v>15.1</v>
      </c>
      <c r="K295" s="886">
        <f t="shared" si="78"/>
        <v>0.15002757094750421</v>
      </c>
      <c r="L295" s="586">
        <f t="shared" si="73"/>
        <v>0.4362370313440167</v>
      </c>
      <c r="M295" s="586">
        <f t="shared" si="74"/>
        <v>0.36461752745860715</v>
      </c>
      <c r="N295" s="586">
        <f t="shared" si="75"/>
        <v>5.4702681969499747E-2</v>
      </c>
      <c r="O295" s="1"/>
      <c r="P295" s="470">
        <f t="shared" si="79"/>
        <v>0.4362370313440167</v>
      </c>
      <c r="R295" s="491" t="s">
        <v>531</v>
      </c>
    </row>
    <row r="296" spans="1:22" ht="15" customHeight="1" x14ac:dyDescent="0.2">
      <c r="A296" s="35"/>
      <c r="B296" s="449">
        <v>40</v>
      </c>
      <c r="C296" s="463">
        <f t="shared" si="70"/>
        <v>604.81714285714293</v>
      </c>
      <c r="D296" s="463">
        <f t="shared" si="70"/>
        <v>675.81714285714293</v>
      </c>
      <c r="E296" s="463">
        <f t="shared" si="70"/>
        <v>584.31714285714293</v>
      </c>
      <c r="F296" s="463">
        <f t="shared" si="76"/>
        <v>523.61714285714288</v>
      </c>
      <c r="G296" s="463">
        <f t="shared" si="71"/>
        <v>508.11714285714288</v>
      </c>
      <c r="H296" s="464">
        <f t="shared" si="71"/>
        <v>76.2</v>
      </c>
      <c r="I296" s="463">
        <f t="shared" si="77"/>
        <v>76</v>
      </c>
      <c r="J296" s="463">
        <f t="shared" si="72"/>
        <v>15.5</v>
      </c>
      <c r="K296" s="886">
        <f t="shared" si="78"/>
        <v>0.14996541854802886</v>
      </c>
      <c r="L296" s="586">
        <f t="shared" si="73"/>
        <v>0.40152795208270198</v>
      </c>
      <c r="M296" s="586">
        <f t="shared" si="74"/>
        <v>0.33732245714763542</v>
      </c>
      <c r="N296" s="586">
        <f t="shared" si="75"/>
        <v>5.0586703471794676E-2</v>
      </c>
      <c r="O296" s="1"/>
      <c r="P296" s="470">
        <f t="shared" si="79"/>
        <v>0.40152795208270198</v>
      </c>
      <c r="R296" s="491" t="s">
        <v>532</v>
      </c>
    </row>
    <row r="297" spans="1:22" ht="15" customHeight="1" x14ac:dyDescent="0.2">
      <c r="A297" s="35"/>
      <c r="B297" s="449">
        <v>50</v>
      </c>
      <c r="C297" s="127">
        <f t="shared" si="70"/>
        <v>714.14571428571412</v>
      </c>
      <c r="D297" s="127">
        <f t="shared" si="70"/>
        <v>785.14571428571412</v>
      </c>
      <c r="E297" s="127">
        <f t="shared" si="70"/>
        <v>692.34571428571417</v>
      </c>
      <c r="F297" s="127">
        <f t="shared" si="76"/>
        <v>617.84571428571417</v>
      </c>
      <c r="G297" s="127">
        <f t="shared" si="71"/>
        <v>602.04571428571421</v>
      </c>
      <c r="H297" s="460">
        <f t="shared" si="71"/>
        <v>90.3</v>
      </c>
      <c r="I297" s="127">
        <f t="shared" si="77"/>
        <v>77</v>
      </c>
      <c r="J297" s="127">
        <f t="shared" si="72"/>
        <v>15.8</v>
      </c>
      <c r="K297" s="885">
        <f t="shared" si="78"/>
        <v>0.14998861026215382</v>
      </c>
      <c r="L297" s="585">
        <f t="shared" si="73"/>
        <v>0.37928748486351826</v>
      </c>
      <c r="M297" s="585">
        <f t="shared" si="74"/>
        <v>0.31974286640458</v>
      </c>
      <c r="N297" s="585">
        <f t="shared" si="75"/>
        <v>4.7957788173260463E-2</v>
      </c>
      <c r="O297" s="1"/>
      <c r="P297" s="921">
        <f t="shared" si="79"/>
        <v>0.37928748486351826</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703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344A-A64E-4733-8C74-A839E9509717}">
  <sheetPr transitionEvaluation="1" transitionEntry="1">
    <tabColor theme="9" tint="0.39997558519241921"/>
  </sheetPr>
  <dimension ref="A1:AD404"/>
  <sheetViews>
    <sheetView showGridLines="0" topLeftCell="A272" zoomScale="90" zoomScaleNormal="90" workbookViewId="0">
      <selection activeCell="D275" sqref="D275"/>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22" t="s">
        <v>715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119_76_38_g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2.1</v>
      </c>
      <c r="B30" s="68">
        <v>1</v>
      </c>
      <c r="C30" s="398">
        <v>2</v>
      </c>
      <c r="D30" s="398">
        <v>2.1</v>
      </c>
      <c r="E30" s="389">
        <f>SUM(C30:D30)/2</f>
        <v>2.0499999999999998</v>
      </c>
      <c r="F30" s="866">
        <f>C30/D30</f>
        <v>0.95238095238095233</v>
      </c>
      <c r="G30" s="874">
        <v>0.9</v>
      </c>
      <c r="I30" s="28" t="s">
        <v>613</v>
      </c>
      <c r="U30" t="s">
        <v>587</v>
      </c>
    </row>
    <row r="31" spans="1:30" ht="15" customHeight="1" x14ac:dyDescent="0.2">
      <c r="A31" s="871">
        <v>3</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3.9</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4.8499999999999996</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5.8</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10.4</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t="s">
        <v>701</v>
      </c>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32</v>
      </c>
      <c r="C108" s="106">
        <v>1</v>
      </c>
      <c r="D108" s="715">
        <v>34</v>
      </c>
      <c r="E108" s="38"/>
      <c r="F108" s="175">
        <v>35.299999999999997</v>
      </c>
    </row>
    <row r="109" spans="1:12" ht="15" customHeight="1" x14ac:dyDescent="0.2">
      <c r="B109" s="716">
        <v>66.2</v>
      </c>
      <c r="C109" s="106">
        <v>2</v>
      </c>
      <c r="D109" s="716">
        <v>65.5</v>
      </c>
      <c r="E109" s="605">
        <f>D109/D108</f>
        <v>1.9264705882352942</v>
      </c>
      <c r="F109" s="176">
        <v>64.2</v>
      </c>
    </row>
    <row r="110" spans="1:12" ht="15" customHeight="1" x14ac:dyDescent="0.2">
      <c r="B110" s="65">
        <v>88.7</v>
      </c>
      <c r="C110" s="106">
        <v>3</v>
      </c>
      <c r="D110" s="65">
        <v>88.5</v>
      </c>
      <c r="E110" s="605">
        <f t="shared" ref="E110:E112" si="9">D110/D109</f>
        <v>1.3511450381679388</v>
      </c>
      <c r="F110" s="717">
        <v>88.1</v>
      </c>
    </row>
    <row r="111" spans="1:12" ht="15" customHeight="1" x14ac:dyDescent="0.2">
      <c r="B111" s="65">
        <v>105.4</v>
      </c>
      <c r="C111" s="106">
        <v>4</v>
      </c>
      <c r="D111" s="65">
        <v>105.5</v>
      </c>
      <c r="E111" s="605">
        <f t="shared" si="9"/>
        <v>1.192090395480226</v>
      </c>
      <c r="F111" s="717">
        <v>107.5</v>
      </c>
    </row>
    <row r="112" spans="1:12" ht="15" customHeight="1" x14ac:dyDescent="0.2">
      <c r="B112" s="716">
        <v>120.5</v>
      </c>
      <c r="C112" s="106">
        <v>5</v>
      </c>
      <c r="D112" s="716">
        <v>120.5</v>
      </c>
      <c r="E112" s="605">
        <f t="shared" si="9"/>
        <v>1.1421800947867298</v>
      </c>
      <c r="F112" s="176">
        <v>123.1</v>
      </c>
    </row>
    <row r="113" spans="1:8" ht="15" customHeight="1" x14ac:dyDescent="0.2">
      <c r="B113" s="65">
        <v>186.8</v>
      </c>
      <c r="C113" s="106">
        <v>10</v>
      </c>
      <c r="D113" s="65">
        <v>186.8</v>
      </c>
      <c r="E113" s="605">
        <f>(D113/D112)/5</f>
        <v>0.3100414937759336</v>
      </c>
      <c r="F113" s="177">
        <v>192.2</v>
      </c>
    </row>
    <row r="114" spans="1:8" ht="15" customHeight="1" x14ac:dyDescent="0.2">
      <c r="B114" s="65">
        <v>308.10000000000002</v>
      </c>
      <c r="C114" s="106">
        <v>20</v>
      </c>
      <c r="D114" s="65">
        <v>308.10000000000002</v>
      </c>
      <c r="E114" s="605">
        <f>(D114/D113)/10</f>
        <v>0.16493576017130623</v>
      </c>
      <c r="F114" s="177">
        <v>309.10000000000002</v>
      </c>
    </row>
    <row r="115" spans="1:8" ht="15" customHeight="1" x14ac:dyDescent="0.2">
      <c r="B115" s="65">
        <v>412.2</v>
      </c>
      <c r="C115" s="106">
        <v>30</v>
      </c>
      <c r="D115" s="65">
        <v>412.2</v>
      </c>
      <c r="E115" s="605">
        <f t="shared" ref="E115:E117" si="10">(D115/D114)/10</f>
        <v>0.13378773125608567</v>
      </c>
      <c r="F115" s="177">
        <v>413</v>
      </c>
    </row>
    <row r="116" spans="1:8" ht="15" customHeight="1" x14ac:dyDescent="0.2">
      <c r="B116" s="65">
        <v>508.1</v>
      </c>
      <c r="C116" s="106">
        <v>40</v>
      </c>
      <c r="D116" s="65">
        <v>508.1</v>
      </c>
      <c r="E116" s="605">
        <f t="shared" si="10"/>
        <v>0.1232654051431344</v>
      </c>
      <c r="F116" s="177">
        <v>508.6</v>
      </c>
    </row>
    <row r="117" spans="1:8" ht="15" customHeight="1" x14ac:dyDescent="0.2">
      <c r="B117" s="716">
        <v>601.9</v>
      </c>
      <c r="C117" s="106">
        <v>50</v>
      </c>
      <c r="D117" s="716">
        <v>601.9</v>
      </c>
      <c r="E117" s="605">
        <f t="shared" si="10"/>
        <v>0.11846093288722692</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0.54166666666665741</v>
      </c>
      <c r="F126" s="408">
        <f>INDEX(LINEST(D$139:D$143,($C$139:$C$143)^{1,2,3}),1)</f>
        <v>1.2583333333333361E-3</v>
      </c>
      <c r="H126" t="s">
        <v>300</v>
      </c>
    </row>
    <row r="127" spans="1:8" ht="15" customHeight="1" x14ac:dyDescent="0.2">
      <c r="E127" s="409" cm="1">
        <f t="array" ref="E127">_xlfn.SINGLE(INDEX(LINEST(D$134:D$138,($C$134:$C$138)^{1,2,3}),2))</f>
        <v>-7.660714285714195</v>
      </c>
      <c r="F127" s="408">
        <f>INDEX(LINEST(D$139:D$143,($C$139:$C$143)^{1,2,3}),2)</f>
        <v>-0.15839285714285756</v>
      </c>
      <c r="H127" t="s">
        <v>301</v>
      </c>
    </row>
    <row r="128" spans="1:8" ht="15" customHeight="1" x14ac:dyDescent="0.2">
      <c r="E128" s="409">
        <f>INDEX(LINEST(D$134:D$138,($C$134:$C$138)^{1,2,3}),3)</f>
        <v>50.797619047618795</v>
      </c>
      <c r="F128" s="408">
        <f>INDEX(LINEST(D$139:D$143,($C$139:$C$143)^{1,2,3}),3)</f>
        <v>15.980238095238109</v>
      </c>
    </row>
    <row r="129" spans="1:11" ht="15" customHeight="1" x14ac:dyDescent="0.2">
      <c r="E129" s="409">
        <f>INDEX(LINEST(D$134:D$138,($C$134:$C$138)^{1,2,3}),4)</f>
        <v>-9.6999999999998145</v>
      </c>
      <c r="F129" s="408">
        <f>INDEX(LINEST(D$139:D$143,($C$139:$C$143)^{1,2,3}),4)</f>
        <v>41.619999999999905</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34</v>
      </c>
      <c r="E134" s="114">
        <f>(E$126*($C134)^3)+(E$127*($C134)^2)+(E$128*($C134)^1)+(E$129)</f>
        <v>33.978571428571442</v>
      </c>
      <c r="F134" s="2"/>
      <c r="H134" s="106">
        <v>1</v>
      </c>
      <c r="I134" s="393">
        <f>E134</f>
        <v>33.978571428571442</v>
      </c>
      <c r="J134" s="109">
        <f>B108</f>
        <v>32</v>
      </c>
      <c r="K134" s="410">
        <f>I134-J134</f>
        <v>1.978571428571442</v>
      </c>
    </row>
    <row r="135" spans="1:11" ht="15" customHeight="1" x14ac:dyDescent="0.2">
      <c r="C135" s="106">
        <v>2</v>
      </c>
      <c r="D135" s="110">
        <f t="shared" ref="D135:D143" si="11">D109</f>
        <v>65.5</v>
      </c>
      <c r="E135" s="114">
        <f>(E$126*($C135)^3)+(E$127*($C135)^2)+(E$128*($C135)^1)+(E$129)</f>
        <v>65.585714285714261</v>
      </c>
      <c r="F135" s="2"/>
      <c r="H135" s="106">
        <v>2</v>
      </c>
      <c r="I135" s="393">
        <f t="shared" ref="I135:I138" si="12">E135</f>
        <v>65.585714285714261</v>
      </c>
      <c r="J135" s="110">
        <f t="shared" ref="J135:J143" si="13">B109</f>
        <v>66.2</v>
      </c>
      <c r="K135" s="411">
        <f t="shared" ref="K135:K143" si="14">I135-J135</f>
        <v>-0.6142857142857423</v>
      </c>
    </row>
    <row r="136" spans="1:11" ht="15" customHeight="1" x14ac:dyDescent="0.2">
      <c r="B136" s="28" t="s">
        <v>308</v>
      </c>
      <c r="C136" s="106">
        <v>3</v>
      </c>
      <c r="D136" s="105">
        <f t="shared" si="11"/>
        <v>88.5</v>
      </c>
      <c r="E136" s="114">
        <f t="shared" ref="E136" si="15">(E$126*($C136)^3)+(E$127*($C136)^2)+(E$128*($C136)^1)+(E$129)</f>
        <v>88.371428571428538</v>
      </c>
      <c r="F136" s="2"/>
      <c r="H136" s="106">
        <v>3</v>
      </c>
      <c r="I136" s="393">
        <f t="shared" si="12"/>
        <v>88.371428571428538</v>
      </c>
      <c r="J136" s="105">
        <f t="shared" si="13"/>
        <v>88.7</v>
      </c>
      <c r="K136" s="412">
        <f t="shared" si="14"/>
        <v>-0.32857142857146471</v>
      </c>
    </row>
    <row r="137" spans="1:11" ht="15" customHeight="1" x14ac:dyDescent="0.2">
      <c r="C137" s="106">
        <v>4</v>
      </c>
      <c r="D137" s="105">
        <f t="shared" si="11"/>
        <v>105.5</v>
      </c>
      <c r="E137" s="114">
        <f>(E$126*($C137)^3)+(E$127*($C137)^2)+(E$128*($C137)^1)+(E$129)</f>
        <v>105.58571428571432</v>
      </c>
      <c r="F137" s="2"/>
      <c r="H137" s="106">
        <v>4</v>
      </c>
      <c r="I137" s="393">
        <f t="shared" si="12"/>
        <v>105.58571428571432</v>
      </c>
      <c r="J137" s="105">
        <f t="shared" si="13"/>
        <v>105.4</v>
      </c>
      <c r="K137" s="412">
        <f t="shared" si="14"/>
        <v>0.1857142857143117</v>
      </c>
    </row>
    <row r="138" spans="1:11" ht="15" customHeight="1" x14ac:dyDescent="0.2">
      <c r="C138" s="106">
        <v>5</v>
      </c>
      <c r="D138" s="110">
        <f t="shared" si="11"/>
        <v>120.5</v>
      </c>
      <c r="E138" s="114">
        <f>(E$126*($C138)^3)+(E$127*($C138)^2)+(E$128*($C138)^1)+(E$129)</f>
        <v>120.47857142857148</v>
      </c>
      <c r="F138" s="115"/>
      <c r="H138" s="106">
        <v>5</v>
      </c>
      <c r="I138" s="393">
        <f t="shared" si="12"/>
        <v>120.47857142857148</v>
      </c>
      <c r="J138" s="110">
        <f t="shared" si="13"/>
        <v>120.5</v>
      </c>
      <c r="K138" s="411">
        <f t="shared" si="14"/>
        <v>-2.1428571428515397E-2</v>
      </c>
    </row>
    <row r="139" spans="1:11" ht="15" customHeight="1" x14ac:dyDescent="0.2">
      <c r="C139" s="106">
        <v>10</v>
      </c>
      <c r="D139" s="105">
        <f t="shared" si="11"/>
        <v>186.8</v>
      </c>
      <c r="E139" s="114"/>
      <c r="F139" s="115">
        <f>(F$126*($C139)^3)+(F$127*($C139)^2)+(F$128*($C139)^1)+(F$129)</f>
        <v>186.84142857142859</v>
      </c>
      <c r="H139" s="106">
        <v>10</v>
      </c>
      <c r="I139" s="393">
        <f>F139</f>
        <v>186.84142857142859</v>
      </c>
      <c r="J139" s="105">
        <f t="shared" si="13"/>
        <v>186.8</v>
      </c>
      <c r="K139" s="412">
        <f t="shared" si="14"/>
        <v>4.1428571428582472E-2</v>
      </c>
    </row>
    <row r="140" spans="1:11" ht="15" customHeight="1" x14ac:dyDescent="0.2">
      <c r="C140" s="106">
        <v>20</v>
      </c>
      <c r="D140" s="105">
        <f t="shared" si="11"/>
        <v>308.10000000000002</v>
      </c>
      <c r="E140" s="2"/>
      <c r="F140" s="115">
        <f t="shared" ref="F140:F143" si="16">(F$126*($C140)^3)+(F$127*($C140)^2)+(F$128*($C140)^1)+(F$129)</f>
        <v>307.93428571428575</v>
      </c>
      <c r="H140" s="106">
        <v>20</v>
      </c>
      <c r="I140" s="393">
        <f t="shared" ref="I140:I143" si="17">F140</f>
        <v>307.93428571428575</v>
      </c>
      <c r="J140" s="105">
        <f t="shared" si="13"/>
        <v>308.10000000000002</v>
      </c>
      <c r="K140" s="412">
        <f t="shared" si="14"/>
        <v>-0.16571428571427305</v>
      </c>
    </row>
    <row r="141" spans="1:11" ht="15" customHeight="1" x14ac:dyDescent="0.2">
      <c r="B141" s="28" t="s">
        <v>297</v>
      </c>
      <c r="C141" s="106">
        <v>30</v>
      </c>
      <c r="D141" s="105">
        <f t="shared" si="11"/>
        <v>412.2</v>
      </c>
      <c r="E141" s="2"/>
      <c r="F141" s="115">
        <f t="shared" si="16"/>
        <v>412.44857142857143</v>
      </c>
      <c r="H141" s="106">
        <v>30</v>
      </c>
      <c r="I141" s="393">
        <f t="shared" si="17"/>
        <v>412.44857142857143</v>
      </c>
      <c r="J141" s="105">
        <f t="shared" si="13"/>
        <v>412.2</v>
      </c>
      <c r="K141" s="412">
        <f t="shared" si="14"/>
        <v>0.24857142857143799</v>
      </c>
    </row>
    <row r="142" spans="1:11" ht="15" customHeight="1" x14ac:dyDescent="0.2">
      <c r="C142" s="106">
        <v>40</v>
      </c>
      <c r="D142" s="105">
        <f t="shared" si="11"/>
        <v>508.1</v>
      </c>
      <c r="E142" s="2"/>
      <c r="F142" s="115">
        <f t="shared" si="16"/>
        <v>507.93428571428569</v>
      </c>
      <c r="H142" s="106">
        <v>40</v>
      </c>
      <c r="I142" s="393">
        <f t="shared" si="17"/>
        <v>507.93428571428569</v>
      </c>
      <c r="J142" s="105">
        <f t="shared" si="13"/>
        <v>508.1</v>
      </c>
      <c r="K142" s="412">
        <f t="shared" si="14"/>
        <v>-0.16571428571432989</v>
      </c>
    </row>
    <row r="143" spans="1:11" ht="15" customHeight="1" x14ac:dyDescent="0.2">
      <c r="C143" s="106">
        <v>50</v>
      </c>
      <c r="D143" s="110">
        <f t="shared" si="11"/>
        <v>601.9</v>
      </c>
      <c r="E143" s="2"/>
      <c r="F143" s="115">
        <f t="shared" si="16"/>
        <v>601.94142857142856</v>
      </c>
      <c r="H143" s="106">
        <v>50</v>
      </c>
      <c r="I143" s="394">
        <f t="shared" si="17"/>
        <v>601.94142857142856</v>
      </c>
      <c r="J143" s="110">
        <f t="shared" si="13"/>
        <v>601.9</v>
      </c>
      <c r="K143" s="411">
        <f t="shared" si="14"/>
        <v>4.1428571428582472E-2</v>
      </c>
    </row>
    <row r="144" spans="1:11" ht="15" customHeight="1" x14ac:dyDescent="0.2">
      <c r="I144" s="38"/>
    </row>
    <row r="145" spans="1:25" ht="15" customHeight="1" x14ac:dyDescent="0.2">
      <c r="D145" s="602">
        <f>D135/D134</f>
        <v>1.9264705882352942</v>
      </c>
      <c r="E145" s="603">
        <f>D138/D135</f>
        <v>1.8396946564885497</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34.693571428571445</v>
      </c>
      <c r="D157" s="119">
        <f>I134</f>
        <v>33.978571428571442</v>
      </c>
      <c r="E157" s="118">
        <v>0.71499999999999997</v>
      </c>
      <c r="F157" s="152">
        <f>E157/D157</f>
        <v>2.1042673954172787E-2</v>
      </c>
      <c r="G157" s="374">
        <f t="shared" ref="G157:G166" si="18">G30</f>
        <v>0.9</v>
      </c>
      <c r="H157" s="375">
        <f>E157-G157</f>
        <v>-0.18500000000000005</v>
      </c>
      <c r="J157" s="917">
        <f>C59</f>
        <v>2.1000000000000001E-2</v>
      </c>
      <c r="K157" s="150">
        <f>J157-F157</f>
        <v>-4.2673954172785938E-5</v>
      </c>
      <c r="M157" s="402">
        <f>C157/D157</f>
        <v>1.0210426739541729</v>
      </c>
      <c r="N157" s="143">
        <f>D157*M157</f>
        <v>34.693571428571445</v>
      </c>
      <c r="O157" s="287">
        <f t="shared" ref="O157:O166" si="19">N157-C157</f>
        <v>0</v>
      </c>
      <c r="P157" s="288">
        <f>J157/F157</f>
        <v>0.99797202797202855</v>
      </c>
      <c r="Q157" s="289">
        <f t="shared" ref="Q157:Q166" si="20">P157*E157</f>
        <v>0.71355000000000035</v>
      </c>
      <c r="R157" s="267" t="s">
        <v>200</v>
      </c>
      <c r="U157" s="152">
        <f>E157/D157</f>
        <v>2.1042673954172787E-2</v>
      </c>
      <c r="Y157">
        <f>1.6/1.99</f>
        <v>0.8040201005025126</v>
      </c>
    </row>
    <row r="158" spans="1:25" ht="15" customHeight="1" x14ac:dyDescent="0.2">
      <c r="A158" s="118">
        <v>1.6</v>
      </c>
      <c r="B158" s="106">
        <v>2</v>
      </c>
      <c r="C158" s="120">
        <f t="shared" ref="C158:C166" si="21">D158+E158</f>
        <v>67.550714285714264</v>
      </c>
      <c r="D158" s="120">
        <f t="shared" ref="D158:D166" si="22">I135</f>
        <v>65.585714285714261</v>
      </c>
      <c r="E158" s="118">
        <v>1.9650000000000001</v>
      </c>
      <c r="F158" s="153">
        <f t="shared" ref="F158:F166" si="23">E158/D158</f>
        <v>2.9960792855587032E-2</v>
      </c>
      <c r="G158" s="376">
        <f t="shared" si="18"/>
        <v>1.6</v>
      </c>
      <c r="H158" s="377">
        <f t="shared" ref="H158:H166" si="24">E158-G158</f>
        <v>0.36499999999999999</v>
      </c>
      <c r="J158" s="402">
        <f t="shared" ref="J158:J166" si="25">C60</f>
        <v>0.03</v>
      </c>
      <c r="K158" s="150">
        <f t="shared" ref="K158:K165" si="26">J158-F158</f>
        <v>3.9207144412967132E-5</v>
      </c>
      <c r="M158" s="402">
        <f t="shared" ref="M158:M166" si="27">C158/D158</f>
        <v>1.0299607928555872</v>
      </c>
      <c r="N158" s="144">
        <f t="shared" ref="N158:N166" si="28">D158*M158</f>
        <v>67.550714285714264</v>
      </c>
      <c r="O158" s="287">
        <f t="shared" si="19"/>
        <v>0</v>
      </c>
      <c r="P158" s="288">
        <f t="shared" ref="P158:P166" si="29">J158/F158</f>
        <v>1.0013086150490726</v>
      </c>
      <c r="Q158" s="290">
        <f t="shared" si="20"/>
        <v>1.9675714285714279</v>
      </c>
      <c r="R158" s="267" t="s">
        <v>312</v>
      </c>
      <c r="U158" s="152">
        <f t="shared" ref="U158:U166" si="30">E158/D158</f>
        <v>2.9960792855587032E-2</v>
      </c>
    </row>
    <row r="159" spans="1:25" ht="15" customHeight="1" x14ac:dyDescent="0.2">
      <c r="A159" s="118">
        <v>2.6</v>
      </c>
      <c r="B159" s="106">
        <v>3</v>
      </c>
      <c r="C159" s="121">
        <f t="shared" si="21"/>
        <v>91.821428571428541</v>
      </c>
      <c r="D159" s="121">
        <f t="shared" si="22"/>
        <v>88.371428571428538</v>
      </c>
      <c r="E159" s="118">
        <v>3.45</v>
      </c>
      <c r="F159" s="154">
        <f t="shared" si="23"/>
        <v>3.9039767216294874E-2</v>
      </c>
      <c r="G159" s="378">
        <f t="shared" si="18"/>
        <v>2.6</v>
      </c>
      <c r="H159" s="379">
        <f t="shared" si="24"/>
        <v>0.85000000000000009</v>
      </c>
      <c r="J159" s="402">
        <f t="shared" si="25"/>
        <v>3.9E-2</v>
      </c>
      <c r="K159" s="150">
        <f t="shared" si="26"/>
        <v>-3.9767216294873953E-5</v>
      </c>
      <c r="M159" s="402">
        <f t="shared" si="27"/>
        <v>1.039039767216295</v>
      </c>
      <c r="N159" s="145">
        <f t="shared" si="28"/>
        <v>91.821428571428541</v>
      </c>
      <c r="O159" s="287">
        <f t="shared" si="19"/>
        <v>0</v>
      </c>
      <c r="P159" s="288">
        <f t="shared" si="29"/>
        <v>0.99898136645962698</v>
      </c>
      <c r="Q159" s="288">
        <f t="shared" si="20"/>
        <v>3.4464857142857133</v>
      </c>
      <c r="R159" s="267" t="s">
        <v>143</v>
      </c>
      <c r="U159" s="152">
        <f t="shared" si="30"/>
        <v>3.9039767216294874E-2</v>
      </c>
    </row>
    <row r="160" spans="1:25" ht="15" customHeight="1" x14ac:dyDescent="0.2">
      <c r="A160" s="118">
        <v>3.8</v>
      </c>
      <c r="B160" s="106">
        <v>4</v>
      </c>
      <c r="C160" s="121">
        <f t="shared" si="21"/>
        <v>110.70571428571432</v>
      </c>
      <c r="D160" s="121">
        <f t="shared" si="22"/>
        <v>105.58571428571432</v>
      </c>
      <c r="E160" s="118">
        <v>5.12</v>
      </c>
      <c r="F160" s="154">
        <f t="shared" si="23"/>
        <v>4.8491408469760508E-2</v>
      </c>
      <c r="G160" s="378">
        <f t="shared" si="18"/>
        <v>3.8</v>
      </c>
      <c r="H160" s="379">
        <f t="shared" si="24"/>
        <v>1.3200000000000003</v>
      </c>
      <c r="J160" s="402">
        <f t="shared" si="25"/>
        <v>4.8499999999999995E-2</v>
      </c>
      <c r="K160" s="150">
        <f t="shared" si="26"/>
        <v>8.5915302394865001E-6</v>
      </c>
      <c r="M160" s="402">
        <f t="shared" si="27"/>
        <v>1.0484914084697605</v>
      </c>
      <c r="N160" s="145">
        <f t="shared" si="28"/>
        <v>110.70571428571432</v>
      </c>
      <c r="O160" s="287">
        <f t="shared" si="19"/>
        <v>0</v>
      </c>
      <c r="P160" s="288">
        <f t="shared" si="29"/>
        <v>1.0001771763392859</v>
      </c>
      <c r="Q160" s="288">
        <f t="shared" si="20"/>
        <v>5.1209071428571438</v>
      </c>
      <c r="R160" s="88" t="s">
        <v>142</v>
      </c>
      <c r="U160" s="152">
        <f t="shared" si="30"/>
        <v>4.8491408469760508E-2</v>
      </c>
    </row>
    <row r="161" spans="1:25" ht="15" customHeight="1" x14ac:dyDescent="0.2">
      <c r="A161" s="118">
        <v>5.0999999999999996</v>
      </c>
      <c r="B161" s="106">
        <v>5</v>
      </c>
      <c r="C161" s="120">
        <f t="shared" si="21"/>
        <v>127.46857142857148</v>
      </c>
      <c r="D161" s="120">
        <f t="shared" si="22"/>
        <v>120.47857142857148</v>
      </c>
      <c r="E161" s="118">
        <v>6.99</v>
      </c>
      <c r="F161" s="153">
        <f t="shared" si="23"/>
        <v>5.8018616232880744E-2</v>
      </c>
      <c r="G161" s="376">
        <f t="shared" si="18"/>
        <v>5.0999999999999996</v>
      </c>
      <c r="H161" s="377">
        <f t="shared" si="24"/>
        <v>1.8900000000000006</v>
      </c>
      <c r="J161" s="402">
        <f t="shared" si="25"/>
        <v>5.7999999999999996E-2</v>
      </c>
      <c r="K161" s="150">
        <f t="shared" si="26"/>
        <v>-1.8616232880748484E-5</v>
      </c>
      <c r="M161" s="402">
        <f t="shared" si="27"/>
        <v>1.0580186162328806</v>
      </c>
      <c r="N161" s="144">
        <f t="shared" si="28"/>
        <v>127.46857142857147</v>
      </c>
      <c r="O161" s="287">
        <f t="shared" si="19"/>
        <v>0</v>
      </c>
      <c r="P161" s="288">
        <f t="shared" si="29"/>
        <v>0.99967913345595794</v>
      </c>
      <c r="Q161" s="290">
        <f t="shared" si="20"/>
        <v>6.9877571428571459</v>
      </c>
      <c r="U161" s="152">
        <f t="shared" si="30"/>
        <v>5.8018616232880744E-2</v>
      </c>
      <c r="Y161">
        <f>0.9/0.75</f>
        <v>1.2</v>
      </c>
    </row>
    <row r="162" spans="1:25" ht="15" customHeight="1" x14ac:dyDescent="0.2">
      <c r="A162" s="118">
        <v>15.1</v>
      </c>
      <c r="B162" s="106">
        <v>10</v>
      </c>
      <c r="C162" s="121">
        <f t="shared" si="21"/>
        <v>206.28142857142859</v>
      </c>
      <c r="D162" s="121">
        <f t="shared" si="22"/>
        <v>186.84142857142859</v>
      </c>
      <c r="E162" s="118">
        <v>19.440000000000001</v>
      </c>
      <c r="F162" s="154">
        <f t="shared" si="23"/>
        <v>0.10404544724709264</v>
      </c>
      <c r="G162" s="378">
        <f t="shared" si="18"/>
        <v>15.1</v>
      </c>
      <c r="H162" s="379">
        <f t="shared" si="24"/>
        <v>4.3400000000000016</v>
      </c>
      <c r="J162" s="402">
        <f t="shared" si="25"/>
        <v>0.10400000000000001</v>
      </c>
      <c r="K162" s="150">
        <f t="shared" si="26"/>
        <v>-4.5447247092628151E-5</v>
      </c>
      <c r="M162" s="402">
        <f t="shared" si="27"/>
        <v>1.1040454472470926</v>
      </c>
      <c r="N162" s="145">
        <f t="shared" si="28"/>
        <v>206.28142857142859</v>
      </c>
      <c r="O162" s="287">
        <f t="shared" si="19"/>
        <v>0</v>
      </c>
      <c r="P162" s="288">
        <f t="shared" si="29"/>
        <v>0.99956319811875383</v>
      </c>
      <c r="Q162" s="288">
        <f t="shared" si="20"/>
        <v>19.431508571428576</v>
      </c>
      <c r="U162" s="152">
        <f t="shared" si="30"/>
        <v>0.10404544724709264</v>
      </c>
    </row>
    <row r="163" spans="1:25" ht="15" customHeight="1" x14ac:dyDescent="0.2">
      <c r="A163" s="118">
        <v>44</v>
      </c>
      <c r="B163" s="106">
        <v>20</v>
      </c>
      <c r="C163" s="121">
        <f t="shared" si="21"/>
        <v>354.13428571428574</v>
      </c>
      <c r="D163" s="121">
        <f t="shared" si="22"/>
        <v>307.93428571428575</v>
      </c>
      <c r="E163" s="118">
        <v>46.2</v>
      </c>
      <c r="F163" s="154">
        <f t="shared" si="23"/>
        <v>0.15003201054028223</v>
      </c>
      <c r="G163" s="378">
        <f t="shared" si="18"/>
        <v>44</v>
      </c>
      <c r="H163" s="379">
        <f t="shared" si="24"/>
        <v>2.2000000000000028</v>
      </c>
      <c r="J163" s="402">
        <f t="shared" si="25"/>
        <v>0.15</v>
      </c>
      <c r="K163" s="150">
        <f t="shared" si="26"/>
        <v>-3.2010540282234601E-5</v>
      </c>
      <c r="M163" s="402">
        <f t="shared" si="27"/>
        <v>1.1500320105402821</v>
      </c>
      <c r="N163" s="145">
        <f t="shared" si="28"/>
        <v>354.13428571428574</v>
      </c>
      <c r="O163" s="287">
        <f t="shared" si="19"/>
        <v>0</v>
      </c>
      <c r="P163" s="288">
        <f t="shared" si="29"/>
        <v>0.99978664192949918</v>
      </c>
      <c r="Q163" s="288">
        <f t="shared" si="20"/>
        <v>46.190142857142867</v>
      </c>
      <c r="U163" s="152">
        <f t="shared" si="30"/>
        <v>0.15003201054028223</v>
      </c>
    </row>
    <row r="164" spans="1:25" ht="15" customHeight="1" x14ac:dyDescent="0.2">
      <c r="A164" s="118">
        <v>63.1</v>
      </c>
      <c r="B164" s="106">
        <v>30</v>
      </c>
      <c r="C164" s="121">
        <f>D164+E164</f>
        <v>474.29857142857145</v>
      </c>
      <c r="D164" s="121">
        <f t="shared" si="22"/>
        <v>412.44857142857143</v>
      </c>
      <c r="E164" s="118">
        <v>61.85</v>
      </c>
      <c r="F164" s="154">
        <f t="shared" si="23"/>
        <v>0.14995809001295399</v>
      </c>
      <c r="G164" s="378">
        <f t="shared" si="18"/>
        <v>63.1</v>
      </c>
      <c r="H164" s="379">
        <f t="shared" si="24"/>
        <v>-1.25</v>
      </c>
      <c r="J164" s="402">
        <f t="shared" si="25"/>
        <v>0.15</v>
      </c>
      <c r="K164" s="150">
        <f t="shared" si="26"/>
        <v>4.1909987046007124E-5</v>
      </c>
      <c r="M164" s="402">
        <f t="shared" si="27"/>
        <v>1.149958090012954</v>
      </c>
      <c r="N164" s="145">
        <f t="shared" si="28"/>
        <v>474.29857142857145</v>
      </c>
      <c r="O164" s="287">
        <f t="shared" si="19"/>
        <v>0</v>
      </c>
      <c r="P164" s="288">
        <f t="shared" si="29"/>
        <v>1.000279477999769</v>
      </c>
      <c r="Q164" s="288">
        <f t="shared" si="20"/>
        <v>61.867285714285714</v>
      </c>
      <c r="U164" s="152">
        <f t="shared" si="30"/>
        <v>0.14995809001295399</v>
      </c>
    </row>
    <row r="165" spans="1:25" ht="15" customHeight="1" x14ac:dyDescent="0.2">
      <c r="A165" s="118">
        <v>78.8</v>
      </c>
      <c r="B165" s="106">
        <v>40</v>
      </c>
      <c r="C165" s="121">
        <f t="shared" si="21"/>
        <v>584.13428571428574</v>
      </c>
      <c r="D165" s="121">
        <f t="shared" si="22"/>
        <v>507.93428571428569</v>
      </c>
      <c r="E165" s="118">
        <v>76.2</v>
      </c>
      <c r="F165" s="154">
        <f t="shared" si="23"/>
        <v>0.15001940633490274</v>
      </c>
      <c r="G165" s="378">
        <f t="shared" si="18"/>
        <v>78.8</v>
      </c>
      <c r="H165" s="379">
        <f t="shared" si="24"/>
        <v>-2.5999999999999943</v>
      </c>
      <c r="J165" s="402">
        <f t="shared" si="25"/>
        <v>0.15</v>
      </c>
      <c r="K165" s="150">
        <f t="shared" si="26"/>
        <v>-1.9406334902744016E-5</v>
      </c>
      <c r="M165" s="402">
        <f t="shared" si="27"/>
        <v>1.1500194063349027</v>
      </c>
      <c r="N165" s="145">
        <f t="shared" si="28"/>
        <v>584.13428571428574</v>
      </c>
      <c r="O165" s="287">
        <f t="shared" si="19"/>
        <v>0</v>
      </c>
      <c r="P165" s="288">
        <f t="shared" si="29"/>
        <v>0.99987064116985358</v>
      </c>
      <c r="Q165" s="288">
        <f t="shared" si="20"/>
        <v>76.190142857142845</v>
      </c>
      <c r="U165" s="152">
        <f t="shared" si="30"/>
        <v>0.15001940633490274</v>
      </c>
    </row>
    <row r="166" spans="1:25" ht="15" customHeight="1" x14ac:dyDescent="0.2">
      <c r="A166" s="118">
        <v>93.8</v>
      </c>
      <c r="B166" s="106">
        <v>50</v>
      </c>
      <c r="C166" s="120">
        <f t="shared" si="21"/>
        <v>692.24142857142851</v>
      </c>
      <c r="D166" s="120">
        <f t="shared" si="22"/>
        <v>601.94142857142856</v>
      </c>
      <c r="E166" s="118">
        <v>90.3</v>
      </c>
      <c r="F166" s="153">
        <f t="shared" si="23"/>
        <v>0.15001459562985484</v>
      </c>
      <c r="G166" s="380">
        <f t="shared" si="18"/>
        <v>93.8</v>
      </c>
      <c r="H166" s="381">
        <f t="shared" si="24"/>
        <v>-3.5</v>
      </c>
      <c r="J166" s="403">
        <f t="shared" si="25"/>
        <v>0.15</v>
      </c>
      <c r="K166" s="151">
        <f>J166-F166</f>
        <v>-1.4595629854841086E-5</v>
      </c>
      <c r="M166" s="403">
        <f t="shared" si="27"/>
        <v>1.1500145956298549</v>
      </c>
      <c r="N166" s="146">
        <f t="shared" si="28"/>
        <v>692.24142857142863</v>
      </c>
      <c r="O166" s="287">
        <f t="shared" si="19"/>
        <v>0</v>
      </c>
      <c r="P166" s="288">
        <f t="shared" si="29"/>
        <v>0.99990270526815372</v>
      </c>
      <c r="Q166" s="290">
        <f t="shared" si="20"/>
        <v>90.291214285714275</v>
      </c>
      <c r="U166" s="152">
        <f t="shared" si="30"/>
        <v>0.15001459562985484</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c r="U182" t="s">
        <v>705</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t="s">
        <v>706</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U184" s="28" t="s">
        <v>707</v>
      </c>
    </row>
    <row r="185" spans="2:26" ht="15" customHeight="1" x14ac:dyDescent="0.2">
      <c r="B185" s="106">
        <v>1</v>
      </c>
      <c r="C185" s="119">
        <f>(D185-J185)</f>
        <v>44.693571428571445</v>
      </c>
      <c r="D185" s="698">
        <f>(F185+G185+M185+L185)+$E$179</f>
        <v>115.69357142857145</v>
      </c>
      <c r="E185" s="119">
        <f>F185+G185</f>
        <v>34.693571428571445</v>
      </c>
      <c r="F185" s="119">
        <f t="shared" ref="F185:G194" si="31">D157</f>
        <v>33.978571428571442</v>
      </c>
      <c r="G185" s="175">
        <f t="shared" si="31"/>
        <v>0.71499999999999997</v>
      </c>
      <c r="H185" s="155">
        <f>G185/F185</f>
        <v>2.1042673954172787E-2</v>
      </c>
      <c r="I185" s="119">
        <f>O185</f>
        <v>75</v>
      </c>
      <c r="J185" s="694">
        <v>71</v>
      </c>
      <c r="K185" s="690">
        <v>4</v>
      </c>
      <c r="L185" s="507">
        <f>P185</f>
        <v>6</v>
      </c>
      <c r="M185" s="497">
        <f>O185</f>
        <v>75</v>
      </c>
      <c r="N185" t="s">
        <v>34</v>
      </c>
      <c r="O185" s="417">
        <v>75</v>
      </c>
      <c r="P185" s="417">
        <v>6</v>
      </c>
      <c r="Q185" s="422">
        <v>109</v>
      </c>
      <c r="R185" s="432">
        <f>D185-Q185</f>
        <v>6.6935714285714454</v>
      </c>
      <c r="S185" s="433">
        <f t="shared" ref="S185:S194" si="32">G185-G30</f>
        <v>-0.18500000000000005</v>
      </c>
      <c r="T185" s="420">
        <v>13.9</v>
      </c>
      <c r="U185">
        <v>6</v>
      </c>
      <c r="X185" s="106">
        <v>1</v>
      </c>
      <c r="Y185">
        <v>3.8</v>
      </c>
    </row>
    <row r="186" spans="2:26" ht="15" customHeight="1" x14ac:dyDescent="0.2">
      <c r="B186" s="106">
        <v>2</v>
      </c>
      <c r="C186" s="120">
        <f t="shared" ref="C186:C193" si="33">(D186-J186)</f>
        <v>80.550714285714264</v>
      </c>
      <c r="D186" s="699">
        <f t="shared" ref="D186:D193" si="34">(F186+G186+M186+L186)+$E$179</f>
        <v>151.55071428571426</v>
      </c>
      <c r="E186" s="120">
        <f t="shared" ref="E186:E191" si="35">F186+G186</f>
        <v>67.550714285714264</v>
      </c>
      <c r="F186" s="120">
        <f t="shared" si="31"/>
        <v>65.585714285714261</v>
      </c>
      <c r="G186" s="176">
        <f t="shared" si="31"/>
        <v>1.9650000000000001</v>
      </c>
      <c r="H186" s="156">
        <f t="shared" ref="H186:H194" si="36">G186/F186</f>
        <v>2.9960792855587032E-2</v>
      </c>
      <c r="I186" s="120">
        <f t="shared" ref="I186:I194" si="37">O186</f>
        <v>75</v>
      </c>
      <c r="J186" s="695">
        <f>J185</f>
        <v>71</v>
      </c>
      <c r="K186" s="691">
        <v>4</v>
      </c>
      <c r="L186" s="507">
        <f t="shared" ref="L186:L194" si="38">P186</f>
        <v>9</v>
      </c>
      <c r="M186" s="497">
        <f t="shared" ref="M186:M194" si="39">O186</f>
        <v>75</v>
      </c>
      <c r="N186" t="s">
        <v>697</v>
      </c>
      <c r="O186" s="242">
        <v>75</v>
      </c>
      <c r="P186" s="419">
        <v>9</v>
      </c>
      <c r="Q186" s="423">
        <v>148</v>
      </c>
      <c r="R186" s="434">
        <f t="shared" ref="R186:R194" si="40">D186-Q186</f>
        <v>3.550714285714264</v>
      </c>
      <c r="S186" s="435">
        <f t="shared" si="32"/>
        <v>0.36499999999999999</v>
      </c>
      <c r="U186">
        <v>9</v>
      </c>
      <c r="X186" s="106">
        <v>2</v>
      </c>
      <c r="Y186">
        <v>5.0999999999999996</v>
      </c>
    </row>
    <row r="187" spans="2:26" ht="15" customHeight="1" x14ac:dyDescent="0.2">
      <c r="B187" s="106">
        <v>3</v>
      </c>
      <c r="C187" s="121">
        <f t="shared" si="33"/>
        <v>106.62142857142857</v>
      </c>
      <c r="D187" s="700">
        <f>(F187+G187+M187+L187)+$E$179</f>
        <v>177.62142857142857</v>
      </c>
      <c r="E187" s="121">
        <f t="shared" si="35"/>
        <v>91.821428571428541</v>
      </c>
      <c r="F187" s="121">
        <f t="shared" si="31"/>
        <v>88.371428571428538</v>
      </c>
      <c r="G187" s="177">
        <f t="shared" si="31"/>
        <v>3.45</v>
      </c>
      <c r="H187" s="157">
        <f t="shared" si="36"/>
        <v>3.9039767216294874E-2</v>
      </c>
      <c r="I187" s="121">
        <f t="shared" si="37"/>
        <v>75</v>
      </c>
      <c r="J187" s="696">
        <f t="shared" ref="J187:J194" si="41">J186</f>
        <v>71</v>
      </c>
      <c r="K187" s="692">
        <v>4</v>
      </c>
      <c r="L187" s="507">
        <f t="shared" si="38"/>
        <v>10.8</v>
      </c>
      <c r="M187" s="497">
        <f t="shared" si="39"/>
        <v>75</v>
      </c>
      <c r="O187" s="243">
        <v>75</v>
      </c>
      <c r="P187" s="243">
        <v>10.8</v>
      </c>
      <c r="Q187" s="424">
        <v>172</v>
      </c>
      <c r="R187" s="436">
        <f t="shared" si="40"/>
        <v>5.6214285714285666</v>
      </c>
      <c r="S187" s="437">
        <f t="shared" si="32"/>
        <v>0.85000000000000009</v>
      </c>
      <c r="U187">
        <v>10.8</v>
      </c>
      <c r="X187" s="106">
        <v>3</v>
      </c>
      <c r="Y187">
        <v>6.2</v>
      </c>
    </row>
    <row r="188" spans="2:26" ht="15" customHeight="1" x14ac:dyDescent="0.2">
      <c r="B188" s="106">
        <v>4</v>
      </c>
      <c r="C188" s="121">
        <f t="shared" si="33"/>
        <v>126.70571428571432</v>
      </c>
      <c r="D188" s="700">
        <f t="shared" si="34"/>
        <v>197.70571428571432</v>
      </c>
      <c r="E188" s="121">
        <f t="shared" si="35"/>
        <v>110.70571428571432</v>
      </c>
      <c r="F188" s="121">
        <f t="shared" si="31"/>
        <v>105.58571428571432</v>
      </c>
      <c r="G188" s="177">
        <f t="shared" si="31"/>
        <v>5.12</v>
      </c>
      <c r="H188" s="157">
        <f t="shared" si="36"/>
        <v>4.8491408469760508E-2</v>
      </c>
      <c r="I188" s="121">
        <f t="shared" si="37"/>
        <v>75</v>
      </c>
      <c r="J188" s="696">
        <f t="shared" si="41"/>
        <v>71</v>
      </c>
      <c r="K188" s="692">
        <v>4</v>
      </c>
      <c r="L188" s="507">
        <f t="shared" si="38"/>
        <v>12</v>
      </c>
      <c r="M188" s="497">
        <f t="shared" si="39"/>
        <v>75</v>
      </c>
      <c r="O188" s="243">
        <v>75</v>
      </c>
      <c r="P188" s="243">
        <v>12</v>
      </c>
      <c r="Q188" s="424">
        <v>191</v>
      </c>
      <c r="R188" s="436">
        <f t="shared" si="40"/>
        <v>6.7057142857143219</v>
      </c>
      <c r="S188" s="437">
        <f t="shared" si="32"/>
        <v>1.3200000000000003</v>
      </c>
      <c r="U188">
        <v>12</v>
      </c>
      <c r="X188" s="106">
        <v>4</v>
      </c>
      <c r="Y188">
        <v>7.1</v>
      </c>
    </row>
    <row r="189" spans="2:26" ht="15" customHeight="1" x14ac:dyDescent="0.2">
      <c r="B189" s="106">
        <v>5</v>
      </c>
      <c r="C189" s="120">
        <f t="shared" si="33"/>
        <v>143.96857142857147</v>
      </c>
      <c r="D189" s="699">
        <f t="shared" si="34"/>
        <v>214.96857142857147</v>
      </c>
      <c r="E189" s="120">
        <f t="shared" si="35"/>
        <v>127.46857142857148</v>
      </c>
      <c r="F189" s="120">
        <f t="shared" si="31"/>
        <v>120.47857142857148</v>
      </c>
      <c r="G189" s="176">
        <f t="shared" si="31"/>
        <v>6.99</v>
      </c>
      <c r="H189" s="156">
        <f t="shared" si="36"/>
        <v>5.8018616232880744E-2</v>
      </c>
      <c r="I189" s="120">
        <f t="shared" si="37"/>
        <v>75</v>
      </c>
      <c r="J189" s="695">
        <f t="shared" si="41"/>
        <v>71</v>
      </c>
      <c r="K189" s="691">
        <v>4</v>
      </c>
      <c r="L189" s="507">
        <f t="shared" si="38"/>
        <v>12.5</v>
      </c>
      <c r="M189" s="497">
        <f t="shared" si="39"/>
        <v>75</v>
      </c>
      <c r="O189" s="242">
        <v>75</v>
      </c>
      <c r="P189" s="242">
        <v>12.5</v>
      </c>
      <c r="Q189" s="423">
        <v>209</v>
      </c>
      <c r="R189" s="434">
        <f t="shared" si="40"/>
        <v>5.9685714285714653</v>
      </c>
      <c r="S189" s="435">
        <f t="shared" si="32"/>
        <v>1.8900000000000006</v>
      </c>
      <c r="U189">
        <v>12.5</v>
      </c>
      <c r="X189" s="106">
        <v>5</v>
      </c>
      <c r="Y189">
        <v>8</v>
      </c>
    </row>
    <row r="190" spans="2:26" ht="15" customHeight="1" x14ac:dyDescent="0.2">
      <c r="B190" s="106">
        <v>10</v>
      </c>
      <c r="C190" s="121">
        <f t="shared" si="33"/>
        <v>223.88142857142861</v>
      </c>
      <c r="D190" s="700">
        <f t="shared" si="34"/>
        <v>294.88142857142861</v>
      </c>
      <c r="E190" s="121">
        <f t="shared" si="35"/>
        <v>206.28142857142859</v>
      </c>
      <c r="F190" s="121">
        <f t="shared" si="31"/>
        <v>186.84142857142859</v>
      </c>
      <c r="G190" s="177">
        <f t="shared" si="31"/>
        <v>19.440000000000001</v>
      </c>
      <c r="H190" s="157">
        <f t="shared" si="36"/>
        <v>0.10404544724709264</v>
      </c>
      <c r="I190" s="121">
        <f t="shared" si="37"/>
        <v>75</v>
      </c>
      <c r="J190" s="696">
        <f t="shared" si="41"/>
        <v>71</v>
      </c>
      <c r="K190" s="692">
        <v>4</v>
      </c>
      <c r="L190" s="507">
        <f t="shared" si="38"/>
        <v>13.6</v>
      </c>
      <c r="M190" s="497">
        <f t="shared" si="39"/>
        <v>75</v>
      </c>
      <c r="O190" s="243">
        <v>75</v>
      </c>
      <c r="P190" s="243">
        <v>13.6</v>
      </c>
      <c r="Q190" s="424">
        <v>287</v>
      </c>
      <c r="R190" s="436">
        <f t="shared" si="40"/>
        <v>7.8814285714286143</v>
      </c>
      <c r="S190" s="437">
        <f t="shared" si="32"/>
        <v>4.3400000000000016</v>
      </c>
      <c r="U190">
        <v>13.6</v>
      </c>
      <c r="X190" s="106">
        <v>10</v>
      </c>
      <c r="Y190">
        <v>10.199999999999999</v>
      </c>
    </row>
    <row r="191" spans="2:26" ht="15" customHeight="1" x14ac:dyDescent="0.2">
      <c r="B191" s="106">
        <v>20</v>
      </c>
      <c r="C191" s="121">
        <f t="shared" si="33"/>
        <v>372.73428571428576</v>
      </c>
      <c r="D191" s="700">
        <f t="shared" si="34"/>
        <v>443.73428571428576</v>
      </c>
      <c r="E191" s="121">
        <f t="shared" si="35"/>
        <v>354.13428571428574</v>
      </c>
      <c r="F191" s="121">
        <f t="shared" si="31"/>
        <v>307.93428571428575</v>
      </c>
      <c r="G191" s="177">
        <f t="shared" si="31"/>
        <v>46.2</v>
      </c>
      <c r="H191" s="157">
        <f t="shared" si="36"/>
        <v>0.15003201054028223</v>
      </c>
      <c r="I191" s="121">
        <f t="shared" si="37"/>
        <v>75</v>
      </c>
      <c r="J191" s="696">
        <f t="shared" si="41"/>
        <v>71</v>
      </c>
      <c r="K191" s="692">
        <v>4</v>
      </c>
      <c r="L191" s="507">
        <f t="shared" si="38"/>
        <v>14.6</v>
      </c>
      <c r="M191" s="497">
        <f t="shared" si="39"/>
        <v>75</v>
      </c>
      <c r="O191" s="243">
        <v>75</v>
      </c>
      <c r="P191" s="243">
        <v>14.6</v>
      </c>
      <c r="Q191" s="424">
        <v>439</v>
      </c>
      <c r="R191" s="436">
        <f t="shared" si="40"/>
        <v>4.7342857142857611</v>
      </c>
      <c r="S191" s="437">
        <f t="shared" si="32"/>
        <v>2.2000000000000028</v>
      </c>
      <c r="U191">
        <v>14.6</v>
      </c>
      <c r="X191" s="106">
        <v>20</v>
      </c>
      <c r="Y191">
        <v>11.8</v>
      </c>
    </row>
    <row r="192" spans="2:26" ht="15" customHeight="1" x14ac:dyDescent="0.2">
      <c r="B192" s="106">
        <v>30</v>
      </c>
      <c r="C192" s="121">
        <f t="shared" si="33"/>
        <v>493.39857142857147</v>
      </c>
      <c r="D192" s="700">
        <f t="shared" si="34"/>
        <v>564.39857142857147</v>
      </c>
      <c r="E192" s="121">
        <f>F192+G192</f>
        <v>474.29857142857145</v>
      </c>
      <c r="F192" s="121">
        <f t="shared" si="31"/>
        <v>412.44857142857143</v>
      </c>
      <c r="G192" s="177">
        <f t="shared" si="31"/>
        <v>61.85</v>
      </c>
      <c r="H192" s="157">
        <f t="shared" si="36"/>
        <v>0.14995809001295399</v>
      </c>
      <c r="I192" s="121">
        <f t="shared" si="37"/>
        <v>75</v>
      </c>
      <c r="J192" s="696">
        <f t="shared" si="41"/>
        <v>71</v>
      </c>
      <c r="K192" s="692">
        <v>4</v>
      </c>
      <c r="L192" s="507">
        <f t="shared" si="38"/>
        <v>15.1</v>
      </c>
      <c r="M192" s="497">
        <f t="shared" si="39"/>
        <v>75</v>
      </c>
      <c r="O192" s="243">
        <v>75</v>
      </c>
      <c r="P192" s="243">
        <v>15.1</v>
      </c>
      <c r="Q192" s="424">
        <v>562</v>
      </c>
      <c r="R192" s="436">
        <f t="shared" si="40"/>
        <v>2.3985714285714721</v>
      </c>
      <c r="S192" s="437">
        <f t="shared" si="32"/>
        <v>-1.25</v>
      </c>
      <c r="U192">
        <v>15.1</v>
      </c>
      <c r="X192" s="106">
        <v>30</v>
      </c>
      <c r="Y192">
        <v>12.4</v>
      </c>
    </row>
    <row r="193" spans="1:25" ht="15" customHeight="1" x14ac:dyDescent="0.2">
      <c r="B193" s="106">
        <v>40</v>
      </c>
      <c r="C193" s="121">
        <f t="shared" si="33"/>
        <v>604.63428571428574</v>
      </c>
      <c r="D193" s="700">
        <f t="shared" si="34"/>
        <v>675.63428571428574</v>
      </c>
      <c r="E193" s="121">
        <f t="shared" ref="E193:E194" si="42">F193+G193</f>
        <v>584.13428571428574</v>
      </c>
      <c r="F193" s="121">
        <f t="shared" si="31"/>
        <v>507.93428571428569</v>
      </c>
      <c r="G193" s="177">
        <f t="shared" si="31"/>
        <v>76.2</v>
      </c>
      <c r="H193" s="157">
        <f t="shared" si="36"/>
        <v>0.15001940633490274</v>
      </c>
      <c r="I193" s="121">
        <f t="shared" si="37"/>
        <v>76</v>
      </c>
      <c r="J193" s="696">
        <f t="shared" si="41"/>
        <v>71</v>
      </c>
      <c r="K193" s="692">
        <v>4</v>
      </c>
      <c r="L193" s="507">
        <f t="shared" si="38"/>
        <v>15.5</v>
      </c>
      <c r="M193" s="497">
        <f t="shared" si="39"/>
        <v>76</v>
      </c>
      <c r="O193" s="243">
        <v>76</v>
      </c>
      <c r="P193" s="243">
        <v>15.5</v>
      </c>
      <c r="Q193" s="424">
        <v>675</v>
      </c>
      <c r="R193" s="436">
        <f t="shared" si="40"/>
        <v>0.63428571428573832</v>
      </c>
      <c r="S193" s="437">
        <f t="shared" si="32"/>
        <v>-2.5999999999999943</v>
      </c>
      <c r="U193">
        <v>15.5</v>
      </c>
      <c r="X193" s="106">
        <v>40</v>
      </c>
      <c r="Y193">
        <v>12.9</v>
      </c>
    </row>
    <row r="194" spans="1:25" ht="15" customHeight="1" thickBot="1" x14ac:dyDescent="0.25">
      <c r="B194" s="106">
        <v>50</v>
      </c>
      <c r="C194" s="120">
        <f>(D194-J194)</f>
        <v>714.04142857142847</v>
      </c>
      <c r="D194" s="701">
        <f>(F194+G194+M194+L194)+$E$179</f>
        <v>785.04142857142847</v>
      </c>
      <c r="E194" s="120">
        <f t="shared" si="42"/>
        <v>692.24142857142851</v>
      </c>
      <c r="F194" s="120">
        <f t="shared" si="31"/>
        <v>601.94142857142856</v>
      </c>
      <c r="G194" s="176">
        <f t="shared" si="31"/>
        <v>90.3</v>
      </c>
      <c r="H194" s="156">
        <f t="shared" si="36"/>
        <v>0.15001459562985484</v>
      </c>
      <c r="I194" s="120">
        <f t="shared" si="37"/>
        <v>77</v>
      </c>
      <c r="J194" s="697">
        <f t="shared" si="41"/>
        <v>71</v>
      </c>
      <c r="K194" s="693">
        <v>4</v>
      </c>
      <c r="L194" s="507">
        <f t="shared" si="38"/>
        <v>15.8</v>
      </c>
      <c r="M194" s="497">
        <f t="shared" si="39"/>
        <v>77</v>
      </c>
      <c r="O194" s="554">
        <v>77</v>
      </c>
      <c r="P194" s="242">
        <v>15.8</v>
      </c>
      <c r="Q194" s="423">
        <v>786</v>
      </c>
      <c r="R194" s="438">
        <f t="shared" si="40"/>
        <v>-0.95857142857153121</v>
      </c>
      <c r="S194" s="439">
        <f t="shared" si="32"/>
        <v>-3.5</v>
      </c>
      <c r="U194">
        <v>15.8</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1.1868524838565966</v>
      </c>
      <c r="G205" s="122">
        <v>1.0935522329800906</v>
      </c>
      <c r="H205" s="34">
        <f>(D206*2.20462*25.4*12)</f>
        <v>3057.4552007999996</v>
      </c>
      <c r="I205" s="5">
        <f>F205*D$205*SQRT(4*D$207*H$205/32.2)/12</f>
        <v>44.693571428571438</v>
      </c>
      <c r="J205" s="1"/>
      <c r="K205" s="22"/>
      <c r="L205" s="96">
        <v>1</v>
      </c>
      <c r="M205" s="92">
        <f>L205*I205</f>
        <v>44.693571428571438</v>
      </c>
      <c r="N205" s="13"/>
      <c r="O205" s="84">
        <v>1</v>
      </c>
      <c r="P205" s="92">
        <f>C185</f>
        <v>44.693571428571445</v>
      </c>
      <c r="Q205" s="254">
        <f>P205/M205</f>
        <v>1.0000000000000002</v>
      </c>
      <c r="R205" s="254">
        <f>G205*Q205</f>
        <v>1.0935522329800909</v>
      </c>
      <c r="S205" s="267" t="s">
        <v>138</v>
      </c>
    </row>
    <row r="206" spans="1:25" ht="15" customHeight="1" x14ac:dyDescent="0.2">
      <c r="B206" s="259" t="s">
        <v>7</v>
      </c>
      <c r="C206" s="12" t="s">
        <v>10</v>
      </c>
      <c r="D206" s="444">
        <v>4.55</v>
      </c>
      <c r="E206" s="255">
        <v>2</v>
      </c>
      <c r="F206" s="250">
        <v>1.0695253508573637</v>
      </c>
      <c r="G206" s="123">
        <v>1.0202083116854279</v>
      </c>
      <c r="H206" s="35"/>
      <c r="I206" s="5">
        <f>F206*D$205*SQRT(4*D$207*H$205/32.2)/12</f>
        <v>40.275357142857139</v>
      </c>
      <c r="J206" s="1"/>
      <c r="K206" s="22"/>
      <c r="L206" s="97">
        <v>2</v>
      </c>
      <c r="M206" s="93">
        <f>L206*I206</f>
        <v>80.550714285714278</v>
      </c>
      <c r="N206" s="13"/>
      <c r="O206" s="84">
        <v>2</v>
      </c>
      <c r="P206" s="93">
        <f t="shared" ref="P206:P214" si="43">C186</f>
        <v>80.550714285714264</v>
      </c>
      <c r="Q206" s="254">
        <f t="shared" ref="Q206:Q214" si="44">P206/M206</f>
        <v>0.99999999999999978</v>
      </c>
      <c r="R206" s="254">
        <f t="shared" ref="R206:R214" si="45">G206*Q206</f>
        <v>1.0202083116854277</v>
      </c>
      <c r="S206" s="267" t="s">
        <v>139</v>
      </c>
    </row>
    <row r="207" spans="1:25" ht="15" customHeight="1" x14ac:dyDescent="0.2">
      <c r="B207" s="261" t="s">
        <v>8</v>
      </c>
      <c r="C207" s="262" t="s">
        <v>15</v>
      </c>
      <c r="D207" s="263">
        <v>85</v>
      </c>
      <c r="E207" s="255">
        <v>3</v>
      </c>
      <c r="F207" s="249">
        <v>0.9437890304095834</v>
      </c>
      <c r="G207" s="122">
        <v>0.90281795171289847</v>
      </c>
      <c r="H207" s="35"/>
      <c r="I207" s="5">
        <f t="shared" ref="I207:I214" si="46">F207*D$205*SQRT(4*D$207*H$205/32.2)/12</f>
        <v>35.540476190476191</v>
      </c>
      <c r="J207" s="1"/>
      <c r="K207" s="22"/>
      <c r="L207" s="98">
        <v>3</v>
      </c>
      <c r="M207" s="94">
        <f t="shared" ref="M207:M213" si="47">L207*I207</f>
        <v>106.62142857142857</v>
      </c>
      <c r="N207" s="13"/>
      <c r="O207" s="84">
        <v>3</v>
      </c>
      <c r="P207" s="94">
        <f t="shared" si="43"/>
        <v>106.62142857142857</v>
      </c>
      <c r="Q207" s="254">
        <f t="shared" si="44"/>
        <v>1</v>
      </c>
      <c r="R207" s="254">
        <f t="shared" si="45"/>
        <v>0.90281795171289847</v>
      </c>
    </row>
    <row r="208" spans="1:25" ht="15" customHeight="1" x14ac:dyDescent="0.2">
      <c r="E208" s="30">
        <v>4</v>
      </c>
      <c r="F208" s="249">
        <v>0.84117797544530981</v>
      </c>
      <c r="G208" s="122">
        <v>0.80456955790614271</v>
      </c>
      <c r="H208" s="35"/>
      <c r="I208" s="5">
        <f t="shared" si="46"/>
        <v>31.676428571428573</v>
      </c>
      <c r="J208" s="1"/>
      <c r="K208" s="22"/>
      <c r="L208" s="98">
        <v>4</v>
      </c>
      <c r="M208" s="94">
        <f t="shared" si="47"/>
        <v>126.70571428571429</v>
      </c>
      <c r="N208" s="13"/>
      <c r="O208" s="84">
        <v>4</v>
      </c>
      <c r="P208" s="94">
        <f t="shared" si="43"/>
        <v>126.70571428571432</v>
      </c>
      <c r="Q208" s="254">
        <f t="shared" si="44"/>
        <v>1.0000000000000002</v>
      </c>
      <c r="R208" s="254">
        <f t="shared" si="45"/>
        <v>0.80456955790614293</v>
      </c>
    </row>
    <row r="209" spans="1:19" ht="15" customHeight="1" x14ac:dyDescent="0.2">
      <c r="B209" s="268" t="s">
        <v>132</v>
      </c>
      <c r="E209" s="30">
        <v>5</v>
      </c>
      <c r="F209" s="250">
        <v>0.764626549795273</v>
      </c>
      <c r="G209" s="123">
        <v>0.73822296574629853</v>
      </c>
      <c r="H209" s="35"/>
      <c r="I209" s="5">
        <f t="shared" si="46"/>
        <v>28.793714285714287</v>
      </c>
      <c r="J209" s="1"/>
      <c r="K209" s="22"/>
      <c r="L209" s="97">
        <v>5</v>
      </c>
      <c r="M209" s="93">
        <f t="shared" si="47"/>
        <v>143.96857142857144</v>
      </c>
      <c r="N209" s="13"/>
      <c r="O209" s="84">
        <v>5</v>
      </c>
      <c r="P209" s="93">
        <f t="shared" si="43"/>
        <v>143.96857142857147</v>
      </c>
      <c r="Q209" s="254">
        <f t="shared" si="44"/>
        <v>1.0000000000000002</v>
      </c>
      <c r="R209" s="254">
        <f t="shared" si="45"/>
        <v>0.73822296574629864</v>
      </c>
    </row>
    <row r="210" spans="1:19" ht="15" customHeight="1" x14ac:dyDescent="0.2">
      <c r="B210" s="42" t="s">
        <v>131</v>
      </c>
      <c r="E210" s="30">
        <v>10</v>
      </c>
      <c r="F210" s="249">
        <v>0.59452449445447331</v>
      </c>
      <c r="G210" s="122">
        <v>0.58443346951621578</v>
      </c>
      <c r="H210" s="35"/>
      <c r="I210" s="5">
        <f t="shared" si="46"/>
        <v>22.388142857142867</v>
      </c>
      <c r="J210" s="1"/>
      <c r="K210" s="22"/>
      <c r="L210" s="98">
        <v>10</v>
      </c>
      <c r="M210" s="94">
        <f t="shared" si="47"/>
        <v>223.88142857142867</v>
      </c>
      <c r="N210" s="13"/>
      <c r="O210" s="84">
        <v>10</v>
      </c>
      <c r="P210" s="94">
        <f t="shared" si="43"/>
        <v>223.88142857142861</v>
      </c>
      <c r="Q210" s="254">
        <f t="shared" si="44"/>
        <v>0.99999999999999978</v>
      </c>
      <c r="R210" s="254">
        <f t="shared" si="45"/>
        <v>0.58443346951621566</v>
      </c>
    </row>
    <row r="211" spans="1:19" ht="15" customHeight="1" x14ac:dyDescent="0.2">
      <c r="E211" s="30">
        <v>20</v>
      </c>
      <c r="F211" s="249">
        <v>0.49490407532716435</v>
      </c>
      <c r="G211" s="122">
        <v>0.49052244607765777</v>
      </c>
      <c r="H211" s="35"/>
      <c r="I211" s="5">
        <f t="shared" si="46"/>
        <v>18.636714285714291</v>
      </c>
      <c r="J211" s="1"/>
      <c r="K211" s="22"/>
      <c r="L211" s="98">
        <v>20</v>
      </c>
      <c r="M211" s="94">
        <f t="shared" si="47"/>
        <v>372.73428571428582</v>
      </c>
      <c r="N211" s="13"/>
      <c r="O211" s="84">
        <v>20</v>
      </c>
      <c r="P211" s="94">
        <f t="shared" si="43"/>
        <v>372.73428571428576</v>
      </c>
      <c r="Q211" s="254">
        <f t="shared" si="44"/>
        <v>0.99999999999999989</v>
      </c>
      <c r="R211" s="254">
        <f t="shared" si="45"/>
        <v>0.49052244607765771</v>
      </c>
    </row>
    <row r="212" spans="1:19" ht="15" customHeight="1" x14ac:dyDescent="0.2">
      <c r="E212" s="30">
        <v>30</v>
      </c>
      <c r="F212" s="249">
        <v>0.43674537620932741</v>
      </c>
      <c r="G212" s="122">
        <v>0.43426687885607124</v>
      </c>
      <c r="H212" s="35"/>
      <c r="I212" s="5">
        <f t="shared" si="46"/>
        <v>16.446619047619048</v>
      </c>
      <c r="J212" s="1"/>
      <c r="K212" s="22"/>
      <c r="L212" s="98">
        <v>30</v>
      </c>
      <c r="M212" s="94">
        <f>L212*I212</f>
        <v>493.39857142857147</v>
      </c>
      <c r="N212" s="13"/>
      <c r="O212" s="84">
        <v>30</v>
      </c>
      <c r="P212" s="94">
        <f t="shared" si="43"/>
        <v>493.39857142857147</v>
      </c>
      <c r="Q212" s="254">
        <f t="shared" si="44"/>
        <v>1</v>
      </c>
      <c r="R212" s="254">
        <f t="shared" si="45"/>
        <v>0.43426687885607124</v>
      </c>
    </row>
    <row r="213" spans="1:19" ht="15" customHeight="1" x14ac:dyDescent="0.2">
      <c r="E213" s="30">
        <v>40</v>
      </c>
      <c r="F213" s="249">
        <v>0.40140655629397104</v>
      </c>
      <c r="G213" s="122">
        <v>0.39928212999118001</v>
      </c>
      <c r="H213" s="35"/>
      <c r="I213" s="5">
        <f t="shared" si="46"/>
        <v>15.115857142857143</v>
      </c>
      <c r="J213" s="1"/>
      <c r="K213" s="22"/>
      <c r="L213" s="98">
        <v>40</v>
      </c>
      <c r="M213" s="94">
        <f t="shared" si="47"/>
        <v>604.63428571428574</v>
      </c>
      <c r="N213" s="13"/>
      <c r="O213" s="84">
        <v>40</v>
      </c>
      <c r="P213" s="126">
        <f t="shared" si="43"/>
        <v>604.63428571428574</v>
      </c>
      <c r="Q213" s="254">
        <f t="shared" si="44"/>
        <v>1</v>
      </c>
      <c r="R213" s="254">
        <f t="shared" si="45"/>
        <v>0.39928212999118001</v>
      </c>
    </row>
    <row r="214" spans="1:19" ht="15" customHeight="1" x14ac:dyDescent="0.2">
      <c r="E214" s="30">
        <v>50</v>
      </c>
      <c r="F214" s="250">
        <v>0.37923209803490981</v>
      </c>
      <c r="G214" s="123">
        <v>0.37774499962295616</v>
      </c>
      <c r="H214" s="36"/>
      <c r="I214" s="23">
        <f t="shared" si="46"/>
        <v>14.28082857142857</v>
      </c>
      <c r="J214" s="24"/>
      <c r="K214" s="17"/>
      <c r="L214" s="99">
        <v>50</v>
      </c>
      <c r="M214" s="100">
        <f>L214*I214</f>
        <v>714.04142857142847</v>
      </c>
      <c r="N214" s="16"/>
      <c r="O214" s="107">
        <v>50</v>
      </c>
      <c r="P214" s="127">
        <f t="shared" si="43"/>
        <v>714.04142857142847</v>
      </c>
      <c r="Q214" s="254">
        <f t="shared" si="44"/>
        <v>1</v>
      </c>
      <c r="R214" s="254">
        <f t="shared" si="45"/>
        <v>0.37774499962295616</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33.978571428571442</v>
      </c>
      <c r="G227" s="46">
        <f>F227/E227</f>
        <v>33.978571428571442</v>
      </c>
      <c r="H227" s="178">
        <f t="shared" ref="H227:H236" si="49">SQRT(12*32.2*G227^2/(4*$B$228*($B$227*56)*$B$226^2))</f>
        <v>0.90229077021120119</v>
      </c>
      <c r="I227" s="718"/>
      <c r="J227" s="178">
        <v>0.90229077021120119</v>
      </c>
      <c r="K227" s="544">
        <v>1</v>
      </c>
      <c r="L227" s="549">
        <f>J227*$L$225</f>
        <v>0.90229077021120119</v>
      </c>
      <c r="M227" s="5">
        <f>(B227*2.20462*25.4*12)</f>
        <v>3057.4552007999996</v>
      </c>
      <c r="N227" s="74">
        <f t="shared" ref="N227:N236" si="50">L227*B$226*SQRT(4*B$228*M$227/32.2)/12</f>
        <v>33.97776685501514</v>
      </c>
      <c r="O227" s="597">
        <f>K227*N227</f>
        <v>33.97776685501514</v>
      </c>
      <c r="P227" s="591">
        <f t="shared" ref="P227:P236" si="51">M157</f>
        <v>1.0210426739541729</v>
      </c>
      <c r="Q227" s="60">
        <f>P227*O227</f>
        <v>34.692749924636125</v>
      </c>
      <c r="R227" s="166">
        <f>Q227-O227</f>
        <v>0.71498306962098468</v>
      </c>
      <c r="S227" s="169">
        <f>R227/O227</f>
        <v>2.104267395417285E-2</v>
      </c>
    </row>
    <row r="228" spans="2:19" ht="15" customHeight="1" x14ac:dyDescent="0.2">
      <c r="B228" s="271">
        <f t="shared" si="48"/>
        <v>85</v>
      </c>
      <c r="C228" s="77" t="s">
        <v>1</v>
      </c>
      <c r="D228" s="17"/>
      <c r="E228" s="70">
        <v>2</v>
      </c>
      <c r="F228" s="54">
        <f t="shared" ref="F228:F236" si="52">F186</f>
        <v>65.585714285714261</v>
      </c>
      <c r="G228" s="45">
        <f t="shared" ref="G228:G236" si="53">F228/E228</f>
        <v>32.79285714285713</v>
      </c>
      <c r="H228" s="179">
        <f t="shared" si="49"/>
        <v>0.87080448308589897</v>
      </c>
      <c r="I228" s="718"/>
      <c r="J228" s="179">
        <v>0.87080448308589897</v>
      </c>
      <c r="K228" s="545">
        <v>2</v>
      </c>
      <c r="L228" s="550">
        <f t="shared" ref="L228:L236" si="54">J228*$L$225</f>
        <v>0.87080448308589897</v>
      </c>
      <c r="N228" s="73">
        <f t="shared" si="50"/>
        <v>32.792080645653648</v>
      </c>
      <c r="O228" s="598">
        <f t="shared" ref="O228:O235" si="55">K228*N228</f>
        <v>65.584161291307296</v>
      </c>
      <c r="P228" s="591">
        <f t="shared" si="51"/>
        <v>1.0299607928555872</v>
      </c>
      <c r="Q228" s="59">
        <f t="shared" ref="Q228:Q236" si="56">P228*O228</f>
        <v>67.549114762363573</v>
      </c>
      <c r="R228" s="167">
        <f t="shared" ref="R228:R236" si="57">Q228-O228</f>
        <v>1.9649534710562762</v>
      </c>
      <c r="S228" s="170">
        <f t="shared" ref="S228:S236" si="58">R228/O228</f>
        <v>2.9960792855587167E-2</v>
      </c>
    </row>
    <row r="229" spans="2:19" ht="15" customHeight="1" x14ac:dyDescent="0.2">
      <c r="E229" s="69">
        <v>3</v>
      </c>
      <c r="F229" s="50">
        <f t="shared" si="52"/>
        <v>88.371428571428538</v>
      </c>
      <c r="G229" s="44">
        <f t="shared" si="53"/>
        <v>29.457142857142845</v>
      </c>
      <c r="H229" s="180">
        <f t="shared" si="49"/>
        <v>0.78222559099243028</v>
      </c>
      <c r="I229" s="718"/>
      <c r="J229" s="180">
        <v>0.78222559099243028</v>
      </c>
      <c r="K229" s="546">
        <v>3</v>
      </c>
      <c r="L229" s="551">
        <f t="shared" si="54"/>
        <v>0.78222559099243028</v>
      </c>
      <c r="N229" s="72">
        <f t="shared" si="50"/>
        <v>29.456445345823493</v>
      </c>
      <c r="O229" s="599">
        <f>K229*N229</f>
        <v>88.369336037470475</v>
      </c>
      <c r="P229" s="591">
        <f t="shared" si="51"/>
        <v>1.039039767216295</v>
      </c>
      <c r="Q229" s="58">
        <f t="shared" si="56"/>
        <v>91.819254345431872</v>
      </c>
      <c r="R229" s="168">
        <f>Q229-O229</f>
        <v>3.4499183079613971</v>
      </c>
      <c r="S229" s="171">
        <f t="shared" si="58"/>
        <v>3.9039767216295013E-2</v>
      </c>
    </row>
    <row r="230" spans="2:19" ht="15" customHeight="1" x14ac:dyDescent="0.2">
      <c r="E230" s="69">
        <v>4</v>
      </c>
      <c r="F230" s="50">
        <f t="shared" si="52"/>
        <v>105.58571428571432</v>
      </c>
      <c r="G230" s="44">
        <f t="shared" si="53"/>
        <v>26.396428571428579</v>
      </c>
      <c r="H230" s="180">
        <f t="shared" si="49"/>
        <v>0.70094924139489045</v>
      </c>
      <c r="I230" s="718"/>
      <c r="J230" s="180">
        <v>0.70094924139489045</v>
      </c>
      <c r="K230" s="546">
        <v>4</v>
      </c>
      <c r="L230" s="551">
        <f t="shared" si="54"/>
        <v>0.70094924139489045</v>
      </c>
      <c r="N230" s="72">
        <f t="shared" si="50"/>
        <v>26.395803534309113</v>
      </c>
      <c r="O230" s="599">
        <f t="shared" si="55"/>
        <v>105.58321413723645</v>
      </c>
      <c r="P230" s="591">
        <f t="shared" si="51"/>
        <v>1.0484914084697605</v>
      </c>
      <c r="Q230" s="58">
        <f t="shared" si="56"/>
        <v>110.70309290151538</v>
      </c>
      <c r="R230" s="168">
        <f>Q230-O230</f>
        <v>5.1198787642789227</v>
      </c>
      <c r="S230" s="171">
        <f t="shared" si="58"/>
        <v>4.8491408469760487E-2</v>
      </c>
    </row>
    <row r="231" spans="2:19" ht="15" customHeight="1" x14ac:dyDescent="0.2">
      <c r="E231" s="70">
        <v>5</v>
      </c>
      <c r="F231" s="54">
        <f t="shared" si="52"/>
        <v>120.47857142857148</v>
      </c>
      <c r="G231" s="45">
        <f t="shared" si="53"/>
        <v>24.095714285714298</v>
      </c>
      <c r="H231" s="179">
        <f t="shared" si="49"/>
        <v>0.63985446378609756</v>
      </c>
      <c r="I231" s="718"/>
      <c r="J231" s="179">
        <v>0.63985446378609756</v>
      </c>
      <c r="K231" s="545">
        <v>5</v>
      </c>
      <c r="L231" s="550">
        <f t="shared" si="54"/>
        <v>0.63985446378609756</v>
      </c>
      <c r="N231" s="73">
        <f t="shared" si="50"/>
        <v>24.095143726867366</v>
      </c>
      <c r="O231" s="598">
        <f t="shared" si="55"/>
        <v>120.47571863433683</v>
      </c>
      <c r="P231" s="591">
        <f t="shared" si="51"/>
        <v>1.0580186162328806</v>
      </c>
      <c r="Q231" s="59">
        <f t="shared" si="56"/>
        <v>127.46555311916292</v>
      </c>
      <c r="R231" s="167">
        <f t="shared" si="57"/>
        <v>6.9898344848260905</v>
      </c>
      <c r="S231" s="170">
        <f t="shared" si="58"/>
        <v>5.8018616232880599E-2</v>
      </c>
    </row>
    <row r="232" spans="2:19" ht="15" customHeight="1" x14ac:dyDescent="0.2">
      <c r="E232" s="69">
        <v>10</v>
      </c>
      <c r="F232" s="50">
        <f t="shared" si="52"/>
        <v>186.84142857142859</v>
      </c>
      <c r="G232" s="44">
        <f t="shared" si="53"/>
        <v>18.684142857142859</v>
      </c>
      <c r="H232" s="180">
        <f t="shared" si="49"/>
        <v>0.49615180805193509</v>
      </c>
      <c r="I232" s="718"/>
      <c r="J232" s="180">
        <v>0.49615180805193509</v>
      </c>
      <c r="K232" s="547">
        <v>10</v>
      </c>
      <c r="L232" s="551">
        <f t="shared" si="54"/>
        <v>0.49615180805193509</v>
      </c>
      <c r="M232" s="41"/>
      <c r="N232" s="76">
        <f t="shared" si="50"/>
        <v>18.683700438093648</v>
      </c>
      <c r="O232" s="600">
        <f t="shared" si="55"/>
        <v>186.83700438093649</v>
      </c>
      <c r="P232" s="591">
        <f t="shared" si="51"/>
        <v>1.1040454472470926</v>
      </c>
      <c r="Q232" s="58">
        <f t="shared" si="56"/>
        <v>206.27654406405804</v>
      </c>
      <c r="R232" s="168">
        <f t="shared" si="57"/>
        <v>19.439539683121552</v>
      </c>
      <c r="S232" s="171">
        <f t="shared" si="58"/>
        <v>0.10404544724709268</v>
      </c>
    </row>
    <row r="233" spans="2:19" ht="15" customHeight="1" x14ac:dyDescent="0.2">
      <c r="E233" s="69">
        <v>20</v>
      </c>
      <c r="F233" s="50">
        <f t="shared" si="52"/>
        <v>307.93428571428575</v>
      </c>
      <c r="G233" s="44">
        <f t="shared" si="53"/>
        <v>15.396714285714287</v>
      </c>
      <c r="H233" s="180">
        <f t="shared" si="49"/>
        <v>0.40885512861489431</v>
      </c>
      <c r="I233" s="718"/>
      <c r="J233" s="180">
        <v>0.40885512861489431</v>
      </c>
      <c r="K233" s="546">
        <v>20</v>
      </c>
      <c r="L233" s="551">
        <f t="shared" si="54"/>
        <v>0.40885512861489431</v>
      </c>
      <c r="N233" s="72">
        <f t="shared" si="50"/>
        <v>15.396349709198931</v>
      </c>
      <c r="O233" s="599">
        <f t="shared" si="55"/>
        <v>307.92699418397865</v>
      </c>
      <c r="P233" s="591">
        <f t="shared" si="51"/>
        <v>1.1500320105402821</v>
      </c>
      <c r="Q233" s="58">
        <f t="shared" si="56"/>
        <v>354.12590022102671</v>
      </c>
      <c r="R233" s="168">
        <f t="shared" si="57"/>
        <v>46.198906037048062</v>
      </c>
      <c r="S233" s="171">
        <f t="shared" si="58"/>
        <v>0.15003201054028206</v>
      </c>
    </row>
    <row r="234" spans="2:19" ht="15" customHeight="1" x14ac:dyDescent="0.2">
      <c r="E234" s="69">
        <v>30</v>
      </c>
      <c r="F234" s="50">
        <f t="shared" si="52"/>
        <v>412.44857142857143</v>
      </c>
      <c r="G234" s="44">
        <f t="shared" si="53"/>
        <v>13.748285714285714</v>
      </c>
      <c r="H234" s="180">
        <f t="shared" si="49"/>
        <v>0.36508160245358651</v>
      </c>
      <c r="I234" s="718"/>
      <c r="J234" s="180">
        <v>0.36508160245358651</v>
      </c>
      <c r="K234" s="546">
        <v>30</v>
      </c>
      <c r="L234" s="551">
        <f t="shared" si="54"/>
        <v>0.36508160245358651</v>
      </c>
      <c r="N234" s="72">
        <f t="shared" si="50"/>
        <v>13.747960170666161</v>
      </c>
      <c r="O234" s="599">
        <f t="shared" si="55"/>
        <v>412.43880511998486</v>
      </c>
      <c r="P234" s="591">
        <f t="shared" si="51"/>
        <v>1.149958090012954</v>
      </c>
      <c r="Q234" s="58">
        <f t="shared" si="56"/>
        <v>474.28734058300273</v>
      </c>
      <c r="R234" s="168">
        <f t="shared" si="57"/>
        <v>61.848535463017868</v>
      </c>
      <c r="S234" s="171">
        <f t="shared" si="58"/>
        <v>0.14995809001295396</v>
      </c>
    </row>
    <row r="235" spans="2:19" ht="15" customHeight="1" x14ac:dyDescent="0.2">
      <c r="E235" s="69">
        <v>40</v>
      </c>
      <c r="F235" s="50">
        <f t="shared" si="52"/>
        <v>507.93428571428569</v>
      </c>
      <c r="G235" s="44">
        <f t="shared" si="53"/>
        <v>12.698357142857143</v>
      </c>
      <c r="H235" s="180">
        <f t="shared" si="49"/>
        <v>0.33720106423341739</v>
      </c>
      <c r="I235" s="718"/>
      <c r="J235" s="180">
        <v>0.33720106423341739</v>
      </c>
      <c r="K235" s="546">
        <v>40</v>
      </c>
      <c r="L235" s="551">
        <f t="shared" si="54"/>
        <v>0.33720106423341739</v>
      </c>
      <c r="N235" s="72">
        <f t="shared" si="50"/>
        <v>12.698056460340602</v>
      </c>
      <c r="O235" s="599">
        <f t="shared" si="55"/>
        <v>507.92225841362409</v>
      </c>
      <c r="P235" s="591">
        <f t="shared" si="51"/>
        <v>1.1500194063349027</v>
      </c>
      <c r="Q235" s="58">
        <f t="shared" si="56"/>
        <v>584.12045408511904</v>
      </c>
      <c r="R235" s="168">
        <f t="shared" si="57"/>
        <v>76.198195671494943</v>
      </c>
      <c r="S235" s="171">
        <f t="shared" si="58"/>
        <v>0.15001940633490274</v>
      </c>
    </row>
    <row r="236" spans="2:19" ht="15" customHeight="1" thickBot="1" x14ac:dyDescent="0.25">
      <c r="E236" s="70">
        <v>50</v>
      </c>
      <c r="F236" s="54">
        <f t="shared" si="52"/>
        <v>601.94142857142856</v>
      </c>
      <c r="G236" s="45">
        <f t="shared" si="53"/>
        <v>12.038828571428571</v>
      </c>
      <c r="H236" s="179">
        <f t="shared" si="49"/>
        <v>0.31968748088746807</v>
      </c>
      <c r="I236" s="718"/>
      <c r="J236" s="179">
        <v>0.31968748088746807</v>
      </c>
      <c r="K236" s="555">
        <v>50</v>
      </c>
      <c r="L236" s="556">
        <f t="shared" si="54"/>
        <v>0.31968748088746807</v>
      </c>
      <c r="N236" s="557">
        <f t="shared" si="50"/>
        <v>12.038543505791315</v>
      </c>
      <c r="O236" s="601">
        <f>K236*N236</f>
        <v>601.92717528956575</v>
      </c>
      <c r="P236" s="592">
        <f t="shared" si="51"/>
        <v>1.1500145956298549</v>
      </c>
      <c r="Q236" s="59">
        <f t="shared" si="56"/>
        <v>692.22503708925069</v>
      </c>
      <c r="R236" s="167">
        <f t="shared" si="57"/>
        <v>90.297861799684938</v>
      </c>
      <c r="S236" s="170">
        <f t="shared" si="58"/>
        <v>0.15001459562985481</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0.71499999999999997</v>
      </c>
      <c r="S241" s="327">
        <f>R241/R227</f>
        <v>1.0000236794124708</v>
      </c>
    </row>
    <row r="242" spans="1:19" ht="15" customHeight="1" x14ac:dyDescent="0.2">
      <c r="E242" s="323"/>
      <c r="F242" s="324"/>
      <c r="G242" s="323"/>
      <c r="H242" s="325"/>
      <c r="I242" s="41"/>
      <c r="J242" s="325"/>
      <c r="K242" s="323"/>
      <c r="L242" s="325"/>
      <c r="M242" s="41"/>
      <c r="N242" s="324"/>
      <c r="O242" s="324"/>
      <c r="P242" s="326"/>
      <c r="Q242" s="324"/>
      <c r="R242" s="167">
        <f t="shared" si="59"/>
        <v>1.9650000000000001</v>
      </c>
      <c r="S242" s="327">
        <f t="shared" ref="S242:S250" si="60">R242/R228</f>
        <v>1.0000236794124693</v>
      </c>
    </row>
    <row r="243" spans="1:19" ht="15" customHeight="1" x14ac:dyDescent="0.2">
      <c r="R243" s="168">
        <f t="shared" si="59"/>
        <v>3.45</v>
      </c>
      <c r="S243" s="327">
        <f t="shared" si="60"/>
        <v>1.0000236794124704</v>
      </c>
    </row>
    <row r="244" spans="1:19" ht="15" customHeight="1" x14ac:dyDescent="0.2">
      <c r="R244" s="168">
        <f t="shared" si="59"/>
        <v>5.12</v>
      </c>
      <c r="S244" s="327">
        <f t="shared" si="60"/>
        <v>1.0000236794124742</v>
      </c>
    </row>
    <row r="245" spans="1:19" ht="15" customHeight="1" x14ac:dyDescent="0.2">
      <c r="R245" s="167">
        <f t="shared" si="59"/>
        <v>6.99</v>
      </c>
      <c r="S245" s="327">
        <f t="shared" si="60"/>
        <v>1.0000236794124766</v>
      </c>
    </row>
    <row r="246" spans="1:19" ht="15" customHeight="1" x14ac:dyDescent="0.2">
      <c r="R246" s="168">
        <f t="shared" si="59"/>
        <v>19.440000000000001</v>
      </c>
      <c r="S246" s="327">
        <f t="shared" si="60"/>
        <v>1.0000236794124733</v>
      </c>
    </row>
    <row r="247" spans="1:19" ht="15" customHeight="1" x14ac:dyDescent="0.2">
      <c r="F247" s="41"/>
      <c r="G247" s="41"/>
      <c r="H247" s="41"/>
      <c r="I247" s="41"/>
      <c r="J247" s="41"/>
      <c r="K247" s="41"/>
      <c r="L247" s="41"/>
      <c r="M247" s="41"/>
      <c r="N247" s="41"/>
      <c r="O247" s="41"/>
      <c r="P247" s="41"/>
      <c r="R247" s="168">
        <f t="shared" si="59"/>
        <v>46.2</v>
      </c>
      <c r="S247" s="327">
        <f t="shared" si="60"/>
        <v>1.0000236794124748</v>
      </c>
    </row>
    <row r="248" spans="1:19" ht="15" customHeight="1" x14ac:dyDescent="0.2">
      <c r="B248" s="90"/>
      <c r="R248" s="168">
        <f t="shared" si="59"/>
        <v>61.85</v>
      </c>
      <c r="S248" s="327">
        <f t="shared" si="60"/>
        <v>1.0000236794124739</v>
      </c>
    </row>
    <row r="249" spans="1:19" ht="15" customHeight="1" x14ac:dyDescent="0.2">
      <c r="A249" s="90" t="s">
        <v>95</v>
      </c>
      <c r="B249" s="64" t="s">
        <v>178</v>
      </c>
      <c r="R249" s="168">
        <f t="shared" si="59"/>
        <v>76.2</v>
      </c>
      <c r="S249" s="327">
        <f t="shared" si="60"/>
        <v>1.0000236794124737</v>
      </c>
    </row>
    <row r="250" spans="1:19" ht="15" customHeight="1" x14ac:dyDescent="0.2">
      <c r="R250" s="167">
        <f t="shared" si="59"/>
        <v>90.3</v>
      </c>
      <c r="S250" s="327">
        <f t="shared" si="60"/>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0.71499999999999997</v>
      </c>
      <c r="G257" s="49">
        <f>F257/E257</f>
        <v>0.71499999999999997</v>
      </c>
      <c r="H257" s="178">
        <f>SQRT(12*32.2*G257^2/(4*$B$258*($B$257*56)*$B$256^2))</f>
        <v>1.898661048941375E-2</v>
      </c>
      <c r="I257" s="718"/>
      <c r="J257" s="178">
        <v>1.898661048941375E-2</v>
      </c>
      <c r="K257" s="544">
        <v>1</v>
      </c>
      <c r="L257" s="549">
        <f>J257*$L$255</f>
        <v>1.898661048941375E-2</v>
      </c>
      <c r="M257" s="5">
        <f>(B257*2.20462*25.4*12)</f>
        <v>3057.4552007999996</v>
      </c>
      <c r="N257" s="74">
        <f>L257*B$256*SQRT(4*B$258*M$257/32.2)/12</f>
        <v>0.71498306962098279</v>
      </c>
      <c r="O257" s="218">
        <f>K257*N257</f>
        <v>0.71498306962098279</v>
      </c>
      <c r="Q257" s="218">
        <f t="shared" ref="Q257:Q266" si="61">E157</f>
        <v>0.71499999999999997</v>
      </c>
      <c r="R257" s="327">
        <f>Q257/O257</f>
        <v>1.0000236794124735</v>
      </c>
    </row>
    <row r="258" spans="2:18" ht="15" customHeight="1" x14ac:dyDescent="0.2">
      <c r="B258" s="271">
        <f>D207</f>
        <v>85</v>
      </c>
      <c r="C258" s="77" t="s">
        <v>1</v>
      </c>
      <c r="D258" s="17"/>
      <c r="E258" s="70">
        <v>2</v>
      </c>
      <c r="F258" s="167">
        <f t="shared" ref="F258:F266" si="62">G186</f>
        <v>1.9650000000000001</v>
      </c>
      <c r="G258" s="48">
        <f t="shared" ref="G258:G266" si="63">F258/E258</f>
        <v>0.98250000000000004</v>
      </c>
      <c r="H258" s="179">
        <f t="shared" ref="H258:H266" si="64">SQRT(12*32.2*G258^2/(4*$B$258*($B$257*56)*$B$256^2))</f>
        <v>2.608999273545316E-2</v>
      </c>
      <c r="I258" s="718"/>
      <c r="J258" s="179">
        <v>2.608999273545316E-2</v>
      </c>
      <c r="K258" s="545">
        <v>2</v>
      </c>
      <c r="L258" s="550">
        <f t="shared" ref="L258:L266" si="65">J258*$L$255</f>
        <v>2.608999273545316E-2</v>
      </c>
      <c r="N258" s="73">
        <f t="shared" ref="N258:N266" si="66">L258*B$256*SQRT(4*B$258*M$257/32.2)/12</f>
        <v>0.98247673552813364</v>
      </c>
      <c r="O258" s="219">
        <f t="shared" ref="O258" si="67">K258*N258</f>
        <v>1.9649534710562673</v>
      </c>
      <c r="Q258" s="219">
        <f t="shared" si="61"/>
        <v>1.9650000000000001</v>
      </c>
      <c r="R258" s="327">
        <f t="shared" ref="R258:R266" si="68">Q258/O258</f>
        <v>1.0000236794124737</v>
      </c>
    </row>
    <row r="259" spans="2:18" ht="15" customHeight="1" x14ac:dyDescent="0.2">
      <c r="E259" s="69">
        <v>3</v>
      </c>
      <c r="F259" s="168">
        <f t="shared" si="62"/>
        <v>3.45</v>
      </c>
      <c r="G259" s="47">
        <f t="shared" si="63"/>
        <v>1.1500000000000001</v>
      </c>
      <c r="H259" s="180">
        <f t="shared" si="64"/>
        <v>3.0537904982973166E-2</v>
      </c>
      <c r="I259" s="718"/>
      <c r="J259" s="180">
        <v>3.0537904982973166E-2</v>
      </c>
      <c r="K259" s="546">
        <v>3</v>
      </c>
      <c r="L259" s="551">
        <f t="shared" si="65"/>
        <v>3.0537904982973166E-2</v>
      </c>
      <c r="N259" s="72">
        <f t="shared" si="66"/>
        <v>1.1499727693204618</v>
      </c>
      <c r="O259" s="220">
        <f>K259*N259</f>
        <v>3.4499183079613855</v>
      </c>
      <c r="Q259" s="220">
        <f t="shared" si="61"/>
        <v>3.45</v>
      </c>
      <c r="R259" s="327">
        <f t="shared" si="68"/>
        <v>1.0000236794124737</v>
      </c>
    </row>
    <row r="260" spans="2:18" ht="15" customHeight="1" x14ac:dyDescent="0.2">
      <c r="E260" s="69">
        <v>4</v>
      </c>
      <c r="F260" s="168">
        <f t="shared" si="62"/>
        <v>5.12</v>
      </c>
      <c r="G260" s="47">
        <f t="shared" si="63"/>
        <v>1.28</v>
      </c>
      <c r="H260" s="180">
        <f t="shared" si="64"/>
        <v>3.3990015981048394E-2</v>
      </c>
      <c r="I260" s="718"/>
      <c r="J260" s="180">
        <v>3.3990015981048394E-2</v>
      </c>
      <c r="K260" s="546">
        <v>4</v>
      </c>
      <c r="L260" s="551">
        <f t="shared" si="65"/>
        <v>3.3990015981048394E-2</v>
      </c>
      <c r="N260" s="72">
        <f t="shared" si="66"/>
        <v>1.2799696910697314</v>
      </c>
      <c r="O260" s="220">
        <f t="shared" ref="O260:O266" si="69">K260*N260</f>
        <v>5.1198787642789254</v>
      </c>
      <c r="Q260" s="220">
        <f t="shared" si="61"/>
        <v>5.12</v>
      </c>
      <c r="R260" s="327">
        <f t="shared" si="68"/>
        <v>1.0000236794124737</v>
      </c>
    </row>
    <row r="261" spans="2:18" ht="15" customHeight="1" x14ac:dyDescent="0.2">
      <c r="E261" s="70">
        <v>5</v>
      </c>
      <c r="F261" s="167">
        <f t="shared" si="62"/>
        <v>6.99</v>
      </c>
      <c r="G261" s="48">
        <f t="shared" si="63"/>
        <v>1.3980000000000001</v>
      </c>
      <c r="H261" s="179">
        <f t="shared" si="64"/>
        <v>3.7123470579301293E-2</v>
      </c>
      <c r="I261" s="718"/>
      <c r="J261" s="179">
        <v>3.7123470579301293E-2</v>
      </c>
      <c r="K261" s="545">
        <v>5</v>
      </c>
      <c r="L261" s="550">
        <f t="shared" si="65"/>
        <v>3.7123470579301293E-2</v>
      </c>
      <c r="N261" s="73">
        <f t="shared" si="66"/>
        <v>1.3979668969652221</v>
      </c>
      <c r="O261" s="219">
        <f t="shared" si="69"/>
        <v>6.9898344848261109</v>
      </c>
      <c r="Q261" s="219">
        <f t="shared" si="61"/>
        <v>6.99</v>
      </c>
      <c r="R261" s="327">
        <f t="shared" si="68"/>
        <v>1.0000236794124737</v>
      </c>
    </row>
    <row r="262" spans="2:18" ht="15" customHeight="1" x14ac:dyDescent="0.2">
      <c r="E262" s="69">
        <v>10</v>
      </c>
      <c r="F262" s="168">
        <f t="shared" si="62"/>
        <v>19.440000000000001</v>
      </c>
      <c r="G262" s="47">
        <f t="shared" si="63"/>
        <v>1.9440000000000002</v>
      </c>
      <c r="H262" s="180">
        <f t="shared" si="64"/>
        <v>5.1622336771217248E-2</v>
      </c>
      <c r="I262" s="718"/>
      <c r="J262" s="180">
        <v>5.1622336771217248E-2</v>
      </c>
      <c r="K262" s="547">
        <v>10</v>
      </c>
      <c r="L262" s="551">
        <f t="shared" si="65"/>
        <v>5.1622336771217248E-2</v>
      </c>
      <c r="M262" s="41"/>
      <c r="N262" s="76">
        <f t="shared" si="66"/>
        <v>1.9439539683121545</v>
      </c>
      <c r="O262" s="221">
        <f t="shared" si="69"/>
        <v>19.439539683121545</v>
      </c>
      <c r="Q262" s="221">
        <f t="shared" si="61"/>
        <v>19.440000000000001</v>
      </c>
      <c r="R262" s="327">
        <f t="shared" si="68"/>
        <v>1.0000236794124737</v>
      </c>
    </row>
    <row r="263" spans="2:18" ht="15" customHeight="1" x14ac:dyDescent="0.2">
      <c r="E263" s="69">
        <v>20</v>
      </c>
      <c r="F263" s="168">
        <f t="shared" si="62"/>
        <v>46.2</v>
      </c>
      <c r="G263" s="47">
        <f t="shared" si="63"/>
        <v>2.31</v>
      </c>
      <c r="H263" s="180">
        <f t="shared" si="64"/>
        <v>6.1341356965798267E-2</v>
      </c>
      <c r="I263" s="718"/>
      <c r="J263" s="180">
        <v>6.1341356965798267E-2</v>
      </c>
      <c r="K263" s="546">
        <v>20</v>
      </c>
      <c r="L263" s="551">
        <f t="shared" si="65"/>
        <v>6.1341356965798267E-2</v>
      </c>
      <c r="N263" s="72">
        <f t="shared" si="66"/>
        <v>2.3099453018524057</v>
      </c>
      <c r="O263" s="220">
        <f t="shared" si="69"/>
        <v>46.198906037048111</v>
      </c>
      <c r="Q263" s="220">
        <f t="shared" si="61"/>
        <v>46.2</v>
      </c>
      <c r="R263" s="327">
        <f t="shared" si="68"/>
        <v>1.0000236794124739</v>
      </c>
    </row>
    <row r="264" spans="2:18" ht="15" customHeight="1" x14ac:dyDescent="0.2">
      <c r="E264" s="69">
        <v>30</v>
      </c>
      <c r="F264" s="168">
        <f t="shared" si="62"/>
        <v>61.85</v>
      </c>
      <c r="G264" s="47">
        <f t="shared" si="63"/>
        <v>2.0616666666666665</v>
      </c>
      <c r="H264" s="180">
        <f t="shared" si="64"/>
        <v>5.4746939802808404E-2</v>
      </c>
      <c r="I264" s="718"/>
      <c r="J264" s="180">
        <v>5.4746939802808404E-2</v>
      </c>
      <c r="K264" s="546">
        <v>30</v>
      </c>
      <c r="L264" s="551">
        <f t="shared" si="65"/>
        <v>5.4746939802808404E-2</v>
      </c>
      <c r="N264" s="72">
        <f t="shared" si="66"/>
        <v>2.0616178487672623</v>
      </c>
      <c r="O264" s="220">
        <f t="shared" si="69"/>
        <v>61.848535463017868</v>
      </c>
      <c r="Q264" s="220">
        <f t="shared" si="61"/>
        <v>61.85</v>
      </c>
      <c r="R264" s="327">
        <f t="shared" si="68"/>
        <v>1.0000236794124739</v>
      </c>
    </row>
    <row r="265" spans="2:18" ht="15" customHeight="1" x14ac:dyDescent="0.2">
      <c r="E265" s="69">
        <v>40</v>
      </c>
      <c r="F265" s="168">
        <f t="shared" si="62"/>
        <v>76.2</v>
      </c>
      <c r="G265" s="47">
        <f t="shared" si="63"/>
        <v>1.905</v>
      </c>
      <c r="H265" s="180">
        <f t="shared" si="64"/>
        <v>5.0586703471794676E-2</v>
      </c>
      <c r="I265" s="718"/>
      <c r="J265" s="180">
        <v>5.0586703471794676E-2</v>
      </c>
      <c r="K265" s="546">
        <v>40</v>
      </c>
      <c r="L265" s="551">
        <f t="shared" si="65"/>
        <v>5.0586703471794676E-2</v>
      </c>
      <c r="N265" s="72">
        <f t="shared" si="66"/>
        <v>1.9049548917873735</v>
      </c>
      <c r="O265" s="220">
        <f t="shared" si="69"/>
        <v>76.198195671494943</v>
      </c>
      <c r="Q265" s="220">
        <f t="shared" si="61"/>
        <v>76.2</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22" t="s">
        <v>715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44.693571428571445</v>
      </c>
      <c r="D288" s="162">
        <f t="shared" si="70"/>
        <v>115.69357142857145</v>
      </c>
      <c r="E288" s="162">
        <f t="shared" si="70"/>
        <v>34.693571428571445</v>
      </c>
      <c r="F288" s="162">
        <f>G288+J288</f>
        <v>39.978571428571442</v>
      </c>
      <c r="G288" s="162">
        <f t="shared" ref="G288:H297" si="71">F185</f>
        <v>33.978571428571442</v>
      </c>
      <c r="H288" s="887">
        <f t="shared" si="71"/>
        <v>0.71499999999999997</v>
      </c>
      <c r="I288" s="162">
        <f>M185</f>
        <v>75</v>
      </c>
      <c r="J288" s="162">
        <f t="shared" ref="J288:J297" si="72">L185</f>
        <v>6</v>
      </c>
      <c r="K288" s="886">
        <f>H288/G288</f>
        <v>2.1042673954172787E-2</v>
      </c>
      <c r="L288" s="889">
        <f t="shared" ref="L288:L297" si="73">F205</f>
        <v>1.1868524838565966</v>
      </c>
      <c r="M288" s="889">
        <f t="shared" ref="M288:M297" si="74">H227</f>
        <v>0.90229077021120119</v>
      </c>
      <c r="N288" s="889">
        <f t="shared" ref="N288:N297" si="75">H257</f>
        <v>1.898661048941375E-2</v>
      </c>
      <c r="O288" s="40"/>
      <c r="P288" s="920">
        <f>L288</f>
        <v>1.1868524838565966</v>
      </c>
    </row>
    <row r="289" spans="1:22" ht="15" customHeight="1" x14ac:dyDescent="0.2">
      <c r="A289" s="35"/>
      <c r="B289" s="449">
        <v>2</v>
      </c>
      <c r="C289" s="127">
        <f t="shared" si="70"/>
        <v>80.550714285714264</v>
      </c>
      <c r="D289" s="127">
        <f t="shared" si="70"/>
        <v>151.55071428571426</v>
      </c>
      <c r="E289" s="127">
        <f t="shared" si="70"/>
        <v>67.550714285714264</v>
      </c>
      <c r="F289" s="127">
        <f t="shared" ref="F289:F297" si="76">G289+J289</f>
        <v>74.585714285714261</v>
      </c>
      <c r="G289" s="127">
        <f t="shared" si="71"/>
        <v>65.585714285714261</v>
      </c>
      <c r="H289" s="460">
        <f t="shared" si="71"/>
        <v>1.9650000000000001</v>
      </c>
      <c r="I289" s="127">
        <f t="shared" ref="I289:I297" si="77">M186</f>
        <v>75</v>
      </c>
      <c r="J289" s="127">
        <f t="shared" si="72"/>
        <v>9</v>
      </c>
      <c r="K289" s="885">
        <f t="shared" ref="K289:K297" si="78">H289/G289</f>
        <v>2.9960792855587032E-2</v>
      </c>
      <c r="L289" s="585">
        <f t="shared" si="73"/>
        <v>1.0695253508573637</v>
      </c>
      <c r="M289" s="585">
        <f t="shared" si="74"/>
        <v>0.87080448308589897</v>
      </c>
      <c r="N289" s="585">
        <f t="shared" si="75"/>
        <v>2.608999273545316E-2</v>
      </c>
      <c r="O289" s="1"/>
      <c r="P289" s="469">
        <f t="shared" ref="P289:P297" si="79">L289</f>
        <v>1.0695253508573637</v>
      </c>
    </row>
    <row r="290" spans="1:22" ht="15" customHeight="1" x14ac:dyDescent="0.2">
      <c r="A290" s="35"/>
      <c r="B290" s="449">
        <v>3</v>
      </c>
      <c r="C290" s="463">
        <f t="shared" si="70"/>
        <v>106.62142857142857</v>
      </c>
      <c r="D290" s="463">
        <f t="shared" si="70"/>
        <v>177.62142857142857</v>
      </c>
      <c r="E290" s="463">
        <f t="shared" si="70"/>
        <v>91.821428571428541</v>
      </c>
      <c r="F290" s="463">
        <f t="shared" si="76"/>
        <v>99.171428571428535</v>
      </c>
      <c r="G290" s="463">
        <f t="shared" si="71"/>
        <v>88.371428571428538</v>
      </c>
      <c r="H290" s="464">
        <f t="shared" si="71"/>
        <v>3.45</v>
      </c>
      <c r="I290" s="463">
        <f t="shared" si="77"/>
        <v>75</v>
      </c>
      <c r="J290" s="463">
        <f t="shared" si="72"/>
        <v>10.8</v>
      </c>
      <c r="K290" s="886">
        <f t="shared" si="78"/>
        <v>3.9039767216294874E-2</v>
      </c>
      <c r="L290" s="586">
        <f t="shared" si="73"/>
        <v>0.9437890304095834</v>
      </c>
      <c r="M290" s="586">
        <f t="shared" si="74"/>
        <v>0.78222559099243028</v>
      </c>
      <c r="N290" s="586">
        <f t="shared" si="75"/>
        <v>3.0537904982973166E-2</v>
      </c>
      <c r="O290" s="1"/>
      <c r="P290" s="470">
        <f t="shared" si="79"/>
        <v>0.9437890304095834</v>
      </c>
    </row>
    <row r="291" spans="1:22" ht="15" customHeight="1" x14ac:dyDescent="0.2">
      <c r="A291" s="35"/>
      <c r="B291" s="449">
        <v>4</v>
      </c>
      <c r="C291" s="463">
        <f t="shared" si="70"/>
        <v>126.70571428571432</v>
      </c>
      <c r="D291" s="463">
        <f t="shared" si="70"/>
        <v>197.70571428571432</v>
      </c>
      <c r="E291" s="463">
        <f t="shared" si="70"/>
        <v>110.70571428571432</v>
      </c>
      <c r="F291" s="463">
        <f t="shared" si="76"/>
        <v>117.58571428571432</v>
      </c>
      <c r="G291" s="463">
        <f t="shared" si="71"/>
        <v>105.58571428571432</v>
      </c>
      <c r="H291" s="464">
        <f t="shared" si="71"/>
        <v>5.12</v>
      </c>
      <c r="I291" s="463">
        <f t="shared" si="77"/>
        <v>75</v>
      </c>
      <c r="J291" s="463">
        <f t="shared" si="72"/>
        <v>12</v>
      </c>
      <c r="K291" s="886">
        <f t="shared" si="78"/>
        <v>4.8491408469760508E-2</v>
      </c>
      <c r="L291" s="586">
        <f t="shared" si="73"/>
        <v>0.84117797544530981</v>
      </c>
      <c r="M291" s="586">
        <f t="shared" si="74"/>
        <v>0.70094924139489045</v>
      </c>
      <c r="N291" s="586">
        <f t="shared" si="75"/>
        <v>3.3990015981048394E-2</v>
      </c>
      <c r="O291" s="1"/>
      <c r="P291" s="470">
        <f t="shared" si="79"/>
        <v>0.84117797544530981</v>
      </c>
    </row>
    <row r="292" spans="1:22" ht="15" customHeight="1" x14ac:dyDescent="0.2">
      <c r="A292" s="35"/>
      <c r="B292" s="449">
        <v>5</v>
      </c>
      <c r="C292" s="127">
        <f t="shared" si="70"/>
        <v>143.96857142857147</v>
      </c>
      <c r="D292" s="127">
        <f t="shared" si="70"/>
        <v>214.96857142857147</v>
      </c>
      <c r="E292" s="127">
        <f t="shared" si="70"/>
        <v>127.46857142857148</v>
      </c>
      <c r="F292" s="127">
        <f t="shared" si="76"/>
        <v>132.97857142857148</v>
      </c>
      <c r="G292" s="127">
        <f t="shared" si="71"/>
        <v>120.47857142857148</v>
      </c>
      <c r="H292" s="460">
        <f t="shared" si="71"/>
        <v>6.99</v>
      </c>
      <c r="I292" s="127">
        <f t="shared" si="77"/>
        <v>75</v>
      </c>
      <c r="J292" s="127">
        <f t="shared" si="72"/>
        <v>12.5</v>
      </c>
      <c r="K292" s="885">
        <f t="shared" si="78"/>
        <v>5.8018616232880744E-2</v>
      </c>
      <c r="L292" s="585">
        <f t="shared" si="73"/>
        <v>0.764626549795273</v>
      </c>
      <c r="M292" s="585">
        <f t="shared" si="74"/>
        <v>0.63985446378609756</v>
      </c>
      <c r="N292" s="585">
        <f t="shared" si="75"/>
        <v>3.7123470579301293E-2</v>
      </c>
      <c r="O292" s="1"/>
      <c r="P292" s="921">
        <f>L292</f>
        <v>0.764626549795273</v>
      </c>
    </row>
    <row r="293" spans="1:22" ht="15" customHeight="1" x14ac:dyDescent="0.2">
      <c r="A293" s="35"/>
      <c r="B293" s="449">
        <v>10</v>
      </c>
      <c r="C293" s="463">
        <f t="shared" si="70"/>
        <v>223.88142857142861</v>
      </c>
      <c r="D293" s="463">
        <f t="shared" si="70"/>
        <v>294.88142857142861</v>
      </c>
      <c r="E293" s="463">
        <f t="shared" si="70"/>
        <v>206.28142857142859</v>
      </c>
      <c r="F293" s="463">
        <f t="shared" si="76"/>
        <v>200.44142857142859</v>
      </c>
      <c r="G293" s="463">
        <f t="shared" si="71"/>
        <v>186.84142857142859</v>
      </c>
      <c r="H293" s="464">
        <f t="shared" si="71"/>
        <v>19.440000000000001</v>
      </c>
      <c r="I293" s="463">
        <f t="shared" si="77"/>
        <v>75</v>
      </c>
      <c r="J293" s="463">
        <f t="shared" si="72"/>
        <v>13.6</v>
      </c>
      <c r="K293" s="886">
        <f t="shared" si="78"/>
        <v>0.10404544724709264</v>
      </c>
      <c r="L293" s="586">
        <f t="shared" si="73"/>
        <v>0.59452449445447331</v>
      </c>
      <c r="M293" s="586">
        <f t="shared" si="74"/>
        <v>0.49615180805193509</v>
      </c>
      <c r="N293" s="586">
        <f t="shared" si="75"/>
        <v>5.1622336771217248E-2</v>
      </c>
      <c r="O293" s="1"/>
      <c r="P293" s="470">
        <f t="shared" si="79"/>
        <v>0.59452449445447331</v>
      </c>
    </row>
    <row r="294" spans="1:22" ht="15" customHeight="1" x14ac:dyDescent="0.2">
      <c r="A294" s="35"/>
      <c r="B294" s="449">
        <v>20</v>
      </c>
      <c r="C294" s="463">
        <f t="shared" si="70"/>
        <v>372.73428571428576</v>
      </c>
      <c r="D294" s="463">
        <f t="shared" si="70"/>
        <v>443.73428571428576</v>
      </c>
      <c r="E294" s="463">
        <f t="shared" si="70"/>
        <v>354.13428571428574</v>
      </c>
      <c r="F294" s="463">
        <f t="shared" si="76"/>
        <v>322.53428571428577</v>
      </c>
      <c r="G294" s="463">
        <f t="shared" si="71"/>
        <v>307.93428571428575</v>
      </c>
      <c r="H294" s="464">
        <f t="shared" si="71"/>
        <v>46.2</v>
      </c>
      <c r="I294" s="463">
        <f t="shared" si="77"/>
        <v>75</v>
      </c>
      <c r="J294" s="463">
        <f t="shared" si="72"/>
        <v>14.6</v>
      </c>
      <c r="K294" s="886">
        <f t="shared" si="78"/>
        <v>0.15003201054028223</v>
      </c>
      <c r="L294" s="586">
        <f t="shared" si="73"/>
        <v>0.49490407532716435</v>
      </c>
      <c r="M294" s="586">
        <f t="shared" si="74"/>
        <v>0.40885512861489431</v>
      </c>
      <c r="N294" s="586">
        <f t="shared" si="75"/>
        <v>6.1341356965798267E-2</v>
      </c>
      <c r="O294" s="1"/>
      <c r="P294" s="470">
        <f t="shared" si="79"/>
        <v>0.49490407532716435</v>
      </c>
    </row>
    <row r="295" spans="1:22" ht="15" customHeight="1" x14ac:dyDescent="0.2">
      <c r="A295" s="35"/>
      <c r="B295" s="449">
        <v>30</v>
      </c>
      <c r="C295" s="463">
        <f t="shared" si="70"/>
        <v>493.39857142857147</v>
      </c>
      <c r="D295" s="463">
        <f t="shared" si="70"/>
        <v>564.39857142857147</v>
      </c>
      <c r="E295" s="463">
        <f t="shared" si="70"/>
        <v>474.29857142857145</v>
      </c>
      <c r="F295" s="463">
        <f t="shared" si="76"/>
        <v>427.54857142857145</v>
      </c>
      <c r="G295" s="463">
        <f t="shared" si="71"/>
        <v>412.44857142857143</v>
      </c>
      <c r="H295" s="464">
        <f t="shared" si="71"/>
        <v>61.85</v>
      </c>
      <c r="I295" s="463">
        <f t="shared" si="77"/>
        <v>75</v>
      </c>
      <c r="J295" s="463">
        <f t="shared" si="72"/>
        <v>15.1</v>
      </c>
      <c r="K295" s="886">
        <f t="shared" si="78"/>
        <v>0.14995809001295399</v>
      </c>
      <c r="L295" s="586">
        <f t="shared" si="73"/>
        <v>0.43674537620932741</v>
      </c>
      <c r="M295" s="586">
        <f t="shared" si="74"/>
        <v>0.36508160245358651</v>
      </c>
      <c r="N295" s="586">
        <f t="shared" si="75"/>
        <v>5.4746939802808404E-2</v>
      </c>
      <c r="O295" s="1"/>
      <c r="P295" s="470">
        <f t="shared" si="79"/>
        <v>0.43674537620932741</v>
      </c>
      <c r="R295" s="491" t="s">
        <v>531</v>
      </c>
    </row>
    <row r="296" spans="1:22" ht="15" customHeight="1" x14ac:dyDescent="0.2">
      <c r="A296" s="35"/>
      <c r="B296" s="449">
        <v>40</v>
      </c>
      <c r="C296" s="463">
        <f t="shared" si="70"/>
        <v>604.63428571428574</v>
      </c>
      <c r="D296" s="463">
        <f t="shared" si="70"/>
        <v>675.63428571428574</v>
      </c>
      <c r="E296" s="463">
        <f t="shared" si="70"/>
        <v>584.13428571428574</v>
      </c>
      <c r="F296" s="463">
        <f t="shared" si="76"/>
        <v>523.43428571428569</v>
      </c>
      <c r="G296" s="463">
        <f t="shared" si="71"/>
        <v>507.93428571428569</v>
      </c>
      <c r="H296" s="464">
        <f t="shared" si="71"/>
        <v>76.2</v>
      </c>
      <c r="I296" s="463">
        <f t="shared" si="77"/>
        <v>76</v>
      </c>
      <c r="J296" s="463">
        <f t="shared" si="72"/>
        <v>15.5</v>
      </c>
      <c r="K296" s="886">
        <f t="shared" si="78"/>
        <v>0.15001940633490274</v>
      </c>
      <c r="L296" s="586">
        <f t="shared" si="73"/>
        <v>0.40140655629397104</v>
      </c>
      <c r="M296" s="586">
        <f t="shared" si="74"/>
        <v>0.33720106423341739</v>
      </c>
      <c r="N296" s="586">
        <f t="shared" si="75"/>
        <v>5.0586703471794676E-2</v>
      </c>
      <c r="O296" s="1"/>
      <c r="P296" s="470">
        <f t="shared" si="79"/>
        <v>0.40140655629397104</v>
      </c>
      <c r="R296" s="491" t="s">
        <v>532</v>
      </c>
    </row>
    <row r="297" spans="1:22" ht="15" customHeight="1" x14ac:dyDescent="0.2">
      <c r="A297" s="35"/>
      <c r="B297" s="449">
        <v>50</v>
      </c>
      <c r="C297" s="127">
        <f t="shared" si="70"/>
        <v>714.04142857142847</v>
      </c>
      <c r="D297" s="127">
        <f t="shared" si="70"/>
        <v>785.04142857142847</v>
      </c>
      <c r="E297" s="127">
        <f t="shared" si="70"/>
        <v>692.24142857142851</v>
      </c>
      <c r="F297" s="127">
        <f t="shared" si="76"/>
        <v>617.74142857142851</v>
      </c>
      <c r="G297" s="127">
        <f t="shared" si="71"/>
        <v>601.94142857142856</v>
      </c>
      <c r="H297" s="460">
        <f t="shared" si="71"/>
        <v>90.3</v>
      </c>
      <c r="I297" s="127">
        <f t="shared" si="77"/>
        <v>77</v>
      </c>
      <c r="J297" s="127">
        <f t="shared" si="72"/>
        <v>15.8</v>
      </c>
      <c r="K297" s="885">
        <f t="shared" si="78"/>
        <v>0.15001459562985484</v>
      </c>
      <c r="L297" s="585">
        <f t="shared" si="73"/>
        <v>0.37923209803490981</v>
      </c>
      <c r="M297" s="585">
        <f t="shared" si="74"/>
        <v>0.31968748088746807</v>
      </c>
      <c r="N297" s="585">
        <f t="shared" si="75"/>
        <v>4.7957788173260463E-2</v>
      </c>
      <c r="O297" s="1"/>
      <c r="P297" s="921">
        <f t="shared" si="79"/>
        <v>0.37923209803490981</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708</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2629-E53F-4C8A-9C1C-A58BE1C72DE4}">
  <sheetPr transitionEvaluation="1" transitionEntry="1">
    <tabColor theme="9" tint="0.39997558519241921"/>
  </sheetPr>
  <dimension ref="A1:AD404"/>
  <sheetViews>
    <sheetView showGridLines="0" topLeftCell="A272" zoomScale="90" zoomScaleNormal="90" workbookViewId="0">
      <selection activeCell="C85" sqref="C85:C94"/>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22" t="s">
        <v>715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128_79_38_g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2.1</v>
      </c>
      <c r="B30" s="68">
        <v>1</v>
      </c>
      <c r="C30" s="398">
        <v>2</v>
      </c>
      <c r="D30" s="398">
        <v>2.1</v>
      </c>
      <c r="E30" s="389">
        <f>SUM(C30:D30)/2</f>
        <v>2.0499999999999998</v>
      </c>
      <c r="F30" s="866">
        <f>C30/D30</f>
        <v>0.95238095238095233</v>
      </c>
      <c r="G30" s="874">
        <v>0.9</v>
      </c>
      <c r="I30" s="28" t="s">
        <v>613</v>
      </c>
      <c r="U30" t="s">
        <v>587</v>
      </c>
    </row>
    <row r="31" spans="1:30" ht="15" customHeight="1" x14ac:dyDescent="0.2">
      <c r="A31" s="871">
        <v>3</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3.9</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4.8499999999999996</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5.8</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10.4</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t="s">
        <v>712</v>
      </c>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S80" s="751"/>
      <c r="T80" s="66"/>
      <c r="U80" s="751"/>
      <c r="V80" s="66"/>
      <c r="W80" s="751"/>
      <c r="X80" s="66"/>
      <c r="Y80" s="751"/>
    </row>
    <row r="81" spans="1:25" ht="15" customHeight="1" x14ac:dyDescent="0.2">
      <c r="A81" s="41"/>
      <c r="B81" s="41"/>
      <c r="C81" s="827"/>
      <c r="D81" s="828"/>
      <c r="E81" s="828"/>
      <c r="F81" s="828"/>
      <c r="G81" s="828"/>
      <c r="H81" s="828"/>
      <c r="I81" s="829"/>
      <c r="J81" s="41"/>
      <c r="S81" s="751"/>
      <c r="T81" s="66"/>
      <c r="U81" s="751"/>
      <c r="V81" s="66"/>
      <c r="W81" s="751"/>
      <c r="X81" s="66"/>
      <c r="Y81" s="751"/>
    </row>
    <row r="82" spans="1:25" ht="15" customHeight="1" x14ac:dyDescent="0.2">
      <c r="A82" s="41"/>
      <c r="M82" s="332" t="s">
        <v>714</v>
      </c>
      <c r="S82" s="751"/>
      <c r="T82" s="66"/>
      <c r="U82" s="751"/>
      <c r="V82" s="66"/>
      <c r="W82" s="751"/>
      <c r="X82" s="66"/>
      <c r="Y82" s="751"/>
    </row>
    <row r="83" spans="1:25" ht="15" customHeight="1" x14ac:dyDescent="0.25">
      <c r="A83" s="41"/>
      <c r="B83" s="923"/>
      <c r="C83" s="9"/>
      <c r="D83" s="9"/>
      <c r="E83" s="924" t="s">
        <v>710</v>
      </c>
      <c r="F83" s="924" t="s">
        <v>711</v>
      </c>
      <c r="G83" s="924"/>
      <c r="H83" s="9"/>
      <c r="I83" s="9"/>
      <c r="J83" s="9"/>
      <c r="K83" s="10"/>
      <c r="M83" s="931" t="s">
        <v>21</v>
      </c>
      <c r="N83" s="931" t="s">
        <v>22</v>
      </c>
      <c r="S83" s="751"/>
      <c r="T83" s="66"/>
      <c r="U83" s="751"/>
      <c r="V83" s="66"/>
      <c r="W83" s="751"/>
      <c r="X83" s="66"/>
      <c r="Y83" s="751"/>
    </row>
    <row r="84" spans="1:25" ht="15" customHeight="1" x14ac:dyDescent="0.25">
      <c r="A84" s="41"/>
      <c r="B84" s="744"/>
      <c r="C84" s="1"/>
      <c r="D84" s="1"/>
      <c r="E84" s="2"/>
      <c r="F84" s="2"/>
      <c r="G84" s="2"/>
      <c r="H84" s="1"/>
      <c r="I84" s="1"/>
      <c r="J84" s="1"/>
      <c r="K84" s="22"/>
      <c r="M84" s="68">
        <v>2</v>
      </c>
      <c r="N84" s="932">
        <v>508.3</v>
      </c>
      <c r="S84" s="751"/>
      <c r="T84" s="66"/>
      <c r="U84" s="751"/>
      <c r="V84" s="66"/>
      <c r="W84" s="751"/>
      <c r="X84" s="66"/>
      <c r="Y84" s="751"/>
    </row>
    <row r="85" spans="1:25" ht="15" customHeight="1" x14ac:dyDescent="0.25">
      <c r="A85" s="41"/>
      <c r="B85" s="744">
        <v>1</v>
      </c>
      <c r="C85" s="1">
        <v>23.5</v>
      </c>
      <c r="D85" s="688">
        <f>C85/E85</f>
        <v>0.87037037037037035</v>
      </c>
      <c r="E85" s="2">
        <v>27</v>
      </c>
      <c r="F85" s="273">
        <f t="shared" ref="F85:F94" si="9">(E85+H85)/2</f>
        <v>30.5</v>
      </c>
      <c r="G85" s="688">
        <f>F85/E85</f>
        <v>1.1296296296296295</v>
      </c>
      <c r="H85" s="2">
        <v>34</v>
      </c>
      <c r="I85" s="688">
        <f>H85/E85</f>
        <v>1.2592592592592593</v>
      </c>
      <c r="J85" s="1">
        <v>37.5</v>
      </c>
      <c r="K85" s="925">
        <f>J85/E85</f>
        <v>1.3888888888888888</v>
      </c>
      <c r="M85" s="68">
        <v>3</v>
      </c>
      <c r="N85" s="932">
        <v>508.1</v>
      </c>
      <c r="S85" s="751"/>
      <c r="T85" s="66"/>
      <c r="U85" s="751"/>
      <c r="V85" s="66"/>
      <c r="W85" s="751"/>
      <c r="X85" s="66"/>
      <c r="Y85" s="751"/>
    </row>
    <row r="86" spans="1:25" ht="15" customHeight="1" x14ac:dyDescent="0.25">
      <c r="A86" s="41"/>
      <c r="B86" s="744">
        <v>2</v>
      </c>
      <c r="C86" s="937">
        <v>48.1</v>
      </c>
      <c r="D86" s="688">
        <f t="shared" ref="D86:D94" si="10">C86/E86</f>
        <v>0.89239332096474955</v>
      </c>
      <c r="E86" s="938">
        <v>53.9</v>
      </c>
      <c r="F86" s="939">
        <f t="shared" si="9"/>
        <v>59.7</v>
      </c>
      <c r="G86" s="688">
        <f t="shared" ref="G86:G94" si="11">F86/E86</f>
        <v>1.1076066790352506</v>
      </c>
      <c r="H86" s="938">
        <v>65.5</v>
      </c>
      <c r="I86" s="688">
        <f t="shared" ref="I86:I94" si="12">H86/E86</f>
        <v>1.2152133580705009</v>
      </c>
      <c r="J86" s="937">
        <v>71.3</v>
      </c>
      <c r="K86" s="925">
        <f t="shared" ref="K86:K94" si="13">J86/E86</f>
        <v>1.3228200371057515</v>
      </c>
      <c r="M86" s="68">
        <v>4</v>
      </c>
      <c r="N86" s="932">
        <v>507.9</v>
      </c>
      <c r="S86" s="751"/>
      <c r="T86" s="66"/>
      <c r="U86" s="751"/>
      <c r="V86" s="66"/>
      <c r="W86" s="751"/>
      <c r="X86" s="66"/>
      <c r="Y86" s="751"/>
    </row>
    <row r="87" spans="1:25" ht="15" customHeight="1" x14ac:dyDescent="0.2">
      <c r="A87" s="41"/>
      <c r="B87" s="744">
        <v>3</v>
      </c>
      <c r="C87" s="1">
        <v>68.900000000000006</v>
      </c>
      <c r="D87" s="688">
        <f t="shared" si="10"/>
        <v>0.91379310344827591</v>
      </c>
      <c r="E87" s="2">
        <v>75.400000000000006</v>
      </c>
      <c r="F87" s="273">
        <f t="shared" si="9"/>
        <v>81.95</v>
      </c>
      <c r="G87" s="688">
        <f t="shared" si="11"/>
        <v>1.0868700265251989</v>
      </c>
      <c r="H87" s="2">
        <v>88.5</v>
      </c>
      <c r="I87" s="688">
        <f t="shared" si="12"/>
        <v>1.1737400530503979</v>
      </c>
      <c r="J87" s="1">
        <v>95.1</v>
      </c>
      <c r="K87" s="925">
        <f t="shared" si="13"/>
        <v>1.2612732095490715</v>
      </c>
      <c r="N87" s="933" t="s">
        <v>22</v>
      </c>
      <c r="S87" s="751"/>
      <c r="T87" s="66"/>
      <c r="U87" s="751"/>
      <c r="V87" s="66"/>
      <c r="W87" s="751"/>
      <c r="X87" s="66"/>
      <c r="Y87" s="751"/>
    </row>
    <row r="88" spans="1:25" ht="15" customHeight="1" x14ac:dyDescent="0.2">
      <c r="A88" s="41"/>
      <c r="B88" s="744">
        <v>4</v>
      </c>
      <c r="C88" s="1">
        <v>87.5</v>
      </c>
      <c r="D88" s="688">
        <f t="shared" si="10"/>
        <v>0.93582887700534756</v>
      </c>
      <c r="E88" s="2">
        <v>93.5</v>
      </c>
      <c r="F88" s="273">
        <f t="shared" si="9"/>
        <v>99.5</v>
      </c>
      <c r="G88" s="688">
        <f t="shared" si="11"/>
        <v>1.0641711229946524</v>
      </c>
      <c r="H88" s="2">
        <v>105.5</v>
      </c>
      <c r="I88" s="688">
        <f t="shared" si="12"/>
        <v>1.1283422459893049</v>
      </c>
      <c r="J88" s="1">
        <v>111.5</v>
      </c>
      <c r="K88" s="925">
        <f t="shared" si="13"/>
        <v>1.1925133689839573</v>
      </c>
      <c r="N88" s="934" cm="1">
        <f t="array" ref="N88">_xlfn.SINGLE(INDEX(LINEST(N$84:N$86,($M$84:$M$86)^{1}),1))</f>
        <v>-0.20000000000001711</v>
      </c>
      <c r="S88" s="751"/>
      <c r="T88" s="66"/>
      <c r="U88" s="751"/>
      <c r="V88" s="66"/>
      <c r="W88" s="751"/>
      <c r="X88" s="66"/>
      <c r="Y88" s="751"/>
    </row>
    <row r="89" spans="1:25" ht="15" customHeight="1" x14ac:dyDescent="0.2">
      <c r="A89" s="41"/>
      <c r="B89" s="744">
        <v>5</v>
      </c>
      <c r="C89" s="937">
        <v>105.1</v>
      </c>
      <c r="D89" s="688">
        <f t="shared" si="10"/>
        <v>0.95372050816696907</v>
      </c>
      <c r="E89" s="938">
        <v>110.2</v>
      </c>
      <c r="F89" s="939">
        <f t="shared" si="9"/>
        <v>115.35</v>
      </c>
      <c r="G89" s="688">
        <f t="shared" si="11"/>
        <v>1.0467332123411976</v>
      </c>
      <c r="H89" s="938">
        <v>120.5</v>
      </c>
      <c r="I89" s="688">
        <f t="shared" si="12"/>
        <v>1.0934664246823955</v>
      </c>
      <c r="J89" s="937">
        <v>125.7</v>
      </c>
      <c r="K89" s="925">
        <f t="shared" si="13"/>
        <v>1.1406533575317603</v>
      </c>
      <c r="N89" s="935" cm="1">
        <f t="array" ref="N89">INDEX(LINEST(N$84:N$86,($M$84:$M$86)^{1}),1,2)</f>
        <v>508.70000000000016</v>
      </c>
      <c r="S89" s="751"/>
      <c r="T89" s="66"/>
      <c r="U89" s="751"/>
      <c r="V89" s="66"/>
      <c r="W89" s="751"/>
      <c r="X89" s="66"/>
      <c r="Y89" s="751"/>
    </row>
    <row r="90" spans="1:25" ht="15" customHeight="1" x14ac:dyDescent="0.25">
      <c r="A90" s="41"/>
      <c r="B90" s="744">
        <v>10</v>
      </c>
      <c r="C90" s="1">
        <v>179.9</v>
      </c>
      <c r="D90" s="688">
        <f t="shared" si="10"/>
        <v>0.98737650933040622</v>
      </c>
      <c r="E90" s="2">
        <v>182.2</v>
      </c>
      <c r="F90" s="273">
        <f t="shared" si="9"/>
        <v>184.55</v>
      </c>
      <c r="G90" s="688">
        <f t="shared" si="11"/>
        <v>1.0128979143798025</v>
      </c>
      <c r="H90" s="2">
        <v>186.9</v>
      </c>
      <c r="I90" s="688">
        <f t="shared" si="12"/>
        <v>1.025795828759605</v>
      </c>
      <c r="J90" s="1">
        <v>189.3</v>
      </c>
      <c r="K90" s="925">
        <f t="shared" si="13"/>
        <v>1.038968166849616</v>
      </c>
      <c r="M90" s="931" t="s">
        <v>21</v>
      </c>
      <c r="N90" s="931" t="s">
        <v>22</v>
      </c>
      <c r="S90" s="751"/>
      <c r="T90" s="66"/>
      <c r="U90" s="751"/>
      <c r="V90" s="66"/>
      <c r="W90" s="751"/>
      <c r="X90" s="66"/>
      <c r="Y90" s="751"/>
    </row>
    <row r="91" spans="1:25" ht="15" customHeight="1" x14ac:dyDescent="0.2">
      <c r="A91" s="41"/>
      <c r="B91" s="744">
        <v>20</v>
      </c>
      <c r="C91" s="1">
        <v>303.2</v>
      </c>
      <c r="D91" s="688">
        <f t="shared" si="10"/>
        <v>0.99475065616797897</v>
      </c>
      <c r="E91" s="2">
        <v>304.8</v>
      </c>
      <c r="F91" s="273">
        <f t="shared" si="9"/>
        <v>306.39999999999998</v>
      </c>
      <c r="G91" s="688">
        <f t="shared" si="11"/>
        <v>1.0052493438320209</v>
      </c>
      <c r="H91" s="2">
        <v>308</v>
      </c>
      <c r="I91" s="688">
        <f t="shared" si="12"/>
        <v>1.0104986876640421</v>
      </c>
      <c r="J91" s="1">
        <v>309.60000000000002</v>
      </c>
      <c r="K91" s="925">
        <f t="shared" si="13"/>
        <v>1.015748031496063</v>
      </c>
      <c r="M91" s="68">
        <v>1</v>
      </c>
      <c r="N91" s="936">
        <f>(N$88*($O91)^1)+(N$89)</f>
        <v>508.70000000000016</v>
      </c>
      <c r="S91" s="751"/>
      <c r="T91" s="66"/>
      <c r="U91" s="751"/>
      <c r="V91" s="66"/>
      <c r="W91" s="751"/>
      <c r="X91" s="66"/>
      <c r="Y91" s="751"/>
    </row>
    <row r="92" spans="1:25" ht="15" customHeight="1" x14ac:dyDescent="0.2">
      <c r="A92" s="41"/>
      <c r="B92" s="744">
        <v>30</v>
      </c>
      <c r="C92" s="937">
        <v>410.9</v>
      </c>
      <c r="D92" s="688">
        <f t="shared" si="10"/>
        <v>0.99878463782207094</v>
      </c>
      <c r="E92" s="938">
        <v>411.4</v>
      </c>
      <c r="F92" s="939">
        <f t="shared" si="9"/>
        <v>411.95</v>
      </c>
      <c r="G92" s="688">
        <f t="shared" si="11"/>
        <v>1.001336898395722</v>
      </c>
      <c r="H92" s="938">
        <v>412.5</v>
      </c>
      <c r="I92" s="688">
        <f t="shared" si="12"/>
        <v>1.0026737967914439</v>
      </c>
      <c r="J92" s="937">
        <v>413.1</v>
      </c>
      <c r="K92" s="925">
        <f t="shared" si="13"/>
        <v>1.0041322314049588</v>
      </c>
      <c r="M92" s="68">
        <v>2</v>
      </c>
      <c r="N92" s="936">
        <f t="shared" ref="N92:N95" si="14">(N$88*($O92)^1)+(N$89)</f>
        <v>508.70000000000016</v>
      </c>
      <c r="S92" s="751"/>
      <c r="T92" s="66"/>
      <c r="U92" s="751"/>
      <c r="V92" s="66"/>
      <c r="W92" s="751"/>
      <c r="X92" s="66"/>
      <c r="Y92" s="751"/>
    </row>
    <row r="93" spans="1:25" ht="15" customHeight="1" x14ac:dyDescent="0.2">
      <c r="A93" s="41"/>
      <c r="B93" s="744">
        <v>40</v>
      </c>
      <c r="C93" s="1">
        <v>508.5</v>
      </c>
      <c r="D93" s="688">
        <f t="shared" si="10"/>
        <v>1.0003934684241589</v>
      </c>
      <c r="E93" s="2">
        <v>508.3</v>
      </c>
      <c r="F93" s="273">
        <f t="shared" si="9"/>
        <v>508.1</v>
      </c>
      <c r="G93" s="688">
        <f t="shared" si="11"/>
        <v>0.99960653157584101</v>
      </c>
      <c r="H93" s="2">
        <v>507.9</v>
      </c>
      <c r="I93" s="688">
        <f t="shared" si="12"/>
        <v>0.99921306315168201</v>
      </c>
      <c r="J93" s="1">
        <v>507.7</v>
      </c>
      <c r="K93" s="925">
        <f t="shared" si="13"/>
        <v>0.99881959472752302</v>
      </c>
      <c r="M93" s="68">
        <v>3</v>
      </c>
      <c r="N93" s="936">
        <f t="shared" si="14"/>
        <v>508.70000000000016</v>
      </c>
      <c r="S93" s="751"/>
      <c r="T93" s="66"/>
      <c r="U93" s="751"/>
      <c r="V93" s="66"/>
      <c r="W93" s="751"/>
      <c r="X93" s="66"/>
      <c r="Y93" s="751"/>
    </row>
    <row r="94" spans="1:25" ht="15" customHeight="1" x14ac:dyDescent="0.2">
      <c r="A94" s="41"/>
      <c r="B94" s="26">
        <v>50</v>
      </c>
      <c r="C94" s="929">
        <v>602.20000000000005</v>
      </c>
      <c r="D94" s="928">
        <f t="shared" si="10"/>
        <v>1.0001660853678791</v>
      </c>
      <c r="E94" s="926">
        <v>602.1</v>
      </c>
      <c r="F94" s="927">
        <f t="shared" si="9"/>
        <v>602.04999999999995</v>
      </c>
      <c r="G94" s="928">
        <f t="shared" si="11"/>
        <v>0.99991695731606034</v>
      </c>
      <c r="H94" s="926">
        <v>602</v>
      </c>
      <c r="I94" s="928">
        <f t="shared" si="12"/>
        <v>0.9998339146321209</v>
      </c>
      <c r="J94" s="929">
        <v>602</v>
      </c>
      <c r="K94" s="930">
        <f t="shared" si="13"/>
        <v>0.9998339146321209</v>
      </c>
      <c r="M94" s="68">
        <v>4</v>
      </c>
      <c r="N94" s="936">
        <f t="shared" si="14"/>
        <v>508.70000000000016</v>
      </c>
      <c r="S94" s="751"/>
      <c r="T94" s="66"/>
      <c r="U94" s="751"/>
      <c r="V94" s="66"/>
      <c r="W94" s="751"/>
      <c r="X94" s="66"/>
      <c r="Y94" s="751"/>
    </row>
    <row r="95" spans="1:25" ht="15" customHeight="1" x14ac:dyDescent="0.2">
      <c r="A95" s="41"/>
      <c r="M95" s="68">
        <v>5</v>
      </c>
      <c r="N95" s="936">
        <f t="shared" si="14"/>
        <v>508.70000000000016</v>
      </c>
    </row>
    <row r="96" spans="1:25" ht="15" customHeight="1" x14ac:dyDescent="0.2">
      <c r="B96" s="66"/>
      <c r="C96" s="827"/>
      <c r="D96" s="828"/>
      <c r="E96" s="828"/>
      <c r="F96" s="828"/>
      <c r="G96" s="828"/>
      <c r="H96" s="828"/>
      <c r="I96" s="829"/>
    </row>
    <row r="97" spans="1:12" ht="15" customHeight="1" x14ac:dyDescent="0.2">
      <c r="B97" s="721"/>
      <c r="C97" s="719"/>
      <c r="D97" s="719"/>
      <c r="E97" s="720"/>
    </row>
    <row r="98" spans="1:12" ht="15" customHeight="1" x14ac:dyDescent="0.2">
      <c r="B98" s="721"/>
      <c r="C98" s="719"/>
      <c r="D98" s="719" t="s">
        <v>701</v>
      </c>
      <c r="E98" s="720"/>
    </row>
    <row r="99" spans="1:12" ht="15" customHeight="1" x14ac:dyDescent="0.2">
      <c r="B99" t="s">
        <v>587</v>
      </c>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37.5</v>
      </c>
      <c r="C108" s="106">
        <v>1</v>
      </c>
      <c r="D108" s="715">
        <v>37.5</v>
      </c>
      <c r="E108" s="38"/>
      <c r="F108" s="175">
        <v>35.299999999999997</v>
      </c>
    </row>
    <row r="109" spans="1:12" ht="15" customHeight="1" x14ac:dyDescent="0.2">
      <c r="B109" s="716">
        <v>71.3</v>
      </c>
      <c r="C109" s="106">
        <v>2</v>
      </c>
      <c r="D109" s="716">
        <v>71.3</v>
      </c>
      <c r="E109" s="605">
        <f>D109/D108</f>
        <v>1.9013333333333333</v>
      </c>
      <c r="F109" s="176">
        <v>64.2</v>
      </c>
    </row>
    <row r="110" spans="1:12" ht="15" customHeight="1" x14ac:dyDescent="0.2">
      <c r="B110" s="65">
        <v>95.1</v>
      </c>
      <c r="C110" s="106">
        <v>3</v>
      </c>
      <c r="D110" s="65">
        <v>95.1</v>
      </c>
      <c r="E110" s="605">
        <f t="shared" ref="E110:E112" si="15">D110/D109</f>
        <v>1.3338008415147264</v>
      </c>
      <c r="F110" s="717">
        <v>88.1</v>
      </c>
    </row>
    <row r="111" spans="1:12" ht="15" customHeight="1" x14ac:dyDescent="0.2">
      <c r="B111" s="65">
        <v>111.5</v>
      </c>
      <c r="C111" s="106">
        <v>4</v>
      </c>
      <c r="D111" s="65">
        <v>111.5</v>
      </c>
      <c r="E111" s="605">
        <f t="shared" si="15"/>
        <v>1.1724500525762356</v>
      </c>
      <c r="F111" s="717">
        <v>107.5</v>
      </c>
    </row>
    <row r="112" spans="1:12" ht="15" customHeight="1" x14ac:dyDescent="0.2">
      <c r="B112" s="716">
        <v>125.7</v>
      </c>
      <c r="C112" s="106">
        <v>5</v>
      </c>
      <c r="D112" s="716">
        <v>125.7</v>
      </c>
      <c r="E112" s="605">
        <f t="shared" si="15"/>
        <v>1.1273542600896862</v>
      </c>
      <c r="F112" s="176">
        <v>123.1</v>
      </c>
    </row>
    <row r="113" spans="1:8" ht="15" customHeight="1" x14ac:dyDescent="0.2">
      <c r="B113" s="65">
        <v>189.3</v>
      </c>
      <c r="C113" s="106">
        <v>10</v>
      </c>
      <c r="D113" s="65">
        <v>189.3</v>
      </c>
      <c r="E113" s="605">
        <f>(D113/D112)/5</f>
        <v>0.30119331742243438</v>
      </c>
      <c r="F113" s="177">
        <v>192.2</v>
      </c>
    </row>
    <row r="114" spans="1:8" ht="15" customHeight="1" x14ac:dyDescent="0.2">
      <c r="B114" s="65">
        <v>309.60000000000002</v>
      </c>
      <c r="C114" s="106">
        <v>20</v>
      </c>
      <c r="D114" s="65">
        <v>309.60000000000002</v>
      </c>
      <c r="E114" s="605">
        <f>(D114/D113)/10</f>
        <v>0.1635499207606973</v>
      </c>
      <c r="F114" s="177">
        <v>309.10000000000002</v>
      </c>
    </row>
    <row r="115" spans="1:8" ht="15" customHeight="1" x14ac:dyDescent="0.2">
      <c r="B115" s="65">
        <v>413.1</v>
      </c>
      <c r="C115" s="106">
        <v>30</v>
      </c>
      <c r="D115" s="65">
        <v>413.1</v>
      </c>
      <c r="E115" s="605">
        <f t="shared" ref="E115:E117" si="16">(D115/D114)/10</f>
        <v>0.13343023255813952</v>
      </c>
      <c r="F115" s="177">
        <v>413</v>
      </c>
    </row>
    <row r="116" spans="1:8" ht="15" customHeight="1" x14ac:dyDescent="0.2">
      <c r="B116" s="65">
        <v>507.7</v>
      </c>
      <c r="C116" s="106">
        <v>40</v>
      </c>
      <c r="D116" s="65">
        <v>507.7</v>
      </c>
      <c r="E116" s="605">
        <f t="shared" si="16"/>
        <v>0.12290002420721373</v>
      </c>
      <c r="F116" s="177">
        <v>508.6</v>
      </c>
    </row>
    <row r="117" spans="1:8" ht="15" customHeight="1" x14ac:dyDescent="0.2">
      <c r="B117" s="716">
        <v>602</v>
      </c>
      <c r="C117" s="106">
        <v>50</v>
      </c>
      <c r="D117" s="716">
        <v>602</v>
      </c>
      <c r="E117" s="605">
        <f t="shared" si="16"/>
        <v>0.11857396100059089</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0.64999999999998936</v>
      </c>
      <c r="F126" s="408">
        <f>INDEX(LINEST(D$139:D$143,($C$139:$C$143)^{1,2,3}),1)</f>
        <v>1.3750000000000049E-3</v>
      </c>
      <c r="H126" t="s">
        <v>300</v>
      </c>
    </row>
    <row r="127" spans="1:8" ht="15" customHeight="1" x14ac:dyDescent="0.2">
      <c r="E127" s="409" cm="1">
        <f t="array" ref="E127">_xlfn.SINGLE(INDEX(LINEST(D$134:D$138,($C$134:$C$138)^{1,2,3}),2))</f>
        <v>-9.1785714285713169</v>
      </c>
      <c r="F127" s="408">
        <f>INDEX(LINEST(D$139:D$143,($C$139:$C$143)^{1,2,3}),2)</f>
        <v>-0.16725000000000051</v>
      </c>
      <c r="H127" t="s">
        <v>301</v>
      </c>
    </row>
    <row r="128" spans="1:8" ht="15" customHeight="1" x14ac:dyDescent="0.2">
      <c r="E128" s="409">
        <f>INDEX(LINEST(D$134:D$138,($C$134:$C$138)^{1,2,3}),3)</f>
        <v>56.971428571428241</v>
      </c>
      <c r="F128" s="408">
        <f>INDEX(LINEST(D$139:D$143,($C$139:$C$143)^{1,2,3}),3)</f>
        <v>16.090000000000014</v>
      </c>
    </row>
    <row r="129" spans="1:11" ht="15" customHeight="1" x14ac:dyDescent="0.2">
      <c r="E129" s="409">
        <f>INDEX(LINEST(D$134:D$138,($C$134:$C$138)^{1,2,3}),4)</f>
        <v>-10.979999999999752</v>
      </c>
      <c r="F129" s="408">
        <f>INDEX(LINEST(D$139:D$143,($C$139:$C$143)^{1,2,3}),4)</f>
        <v>43.739999999999931</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37.5</v>
      </c>
      <c r="E134" s="114">
        <f>(E$126*($C134)^3)+(E$127*($C134)^2)+(E$128*($C134)^1)+(E$129)</f>
        <v>37.46285714285716</v>
      </c>
      <c r="F134" s="2"/>
      <c r="H134" s="106">
        <v>1</v>
      </c>
      <c r="I134" s="393">
        <f>E134</f>
        <v>37.46285714285716</v>
      </c>
      <c r="J134" s="109">
        <f>B108</f>
        <v>37.5</v>
      </c>
      <c r="K134" s="410">
        <f>I134-J134</f>
        <v>-3.7142857142839603E-2</v>
      </c>
    </row>
    <row r="135" spans="1:11" ht="15" customHeight="1" x14ac:dyDescent="0.2">
      <c r="C135" s="106">
        <v>2</v>
      </c>
      <c r="D135" s="110">
        <f t="shared" ref="D135:D143" si="17">D109</f>
        <v>71.3</v>
      </c>
      <c r="E135" s="114">
        <f>(E$126*($C135)^3)+(E$127*($C135)^2)+(E$128*($C135)^1)+(E$129)</f>
        <v>71.448571428571384</v>
      </c>
      <c r="F135" s="2"/>
      <c r="H135" s="106">
        <v>2</v>
      </c>
      <c r="I135" s="393">
        <f t="shared" ref="I135:I138" si="18">E135</f>
        <v>71.448571428571384</v>
      </c>
      <c r="J135" s="110">
        <f t="shared" ref="J135:J143" si="19">B109</f>
        <v>71.3</v>
      </c>
      <c r="K135" s="411">
        <f t="shared" ref="K135:K143" si="20">I135-J135</f>
        <v>0.14857142857138683</v>
      </c>
    </row>
    <row r="136" spans="1:11" ht="15" customHeight="1" x14ac:dyDescent="0.2">
      <c r="B136" s="28" t="s">
        <v>308</v>
      </c>
      <c r="C136" s="106">
        <v>3</v>
      </c>
      <c r="D136" s="105">
        <f t="shared" si="17"/>
        <v>95.1</v>
      </c>
      <c r="E136" s="114">
        <f t="shared" ref="E136" si="21">(E$126*($C136)^3)+(E$127*($C136)^2)+(E$128*($C136)^1)+(E$129)</f>
        <v>94.877142857142829</v>
      </c>
      <c r="F136" s="2"/>
      <c r="H136" s="106">
        <v>3</v>
      </c>
      <c r="I136" s="393">
        <f t="shared" si="18"/>
        <v>94.877142857142829</v>
      </c>
      <c r="J136" s="105">
        <f t="shared" si="19"/>
        <v>95.1</v>
      </c>
      <c r="K136" s="412">
        <f t="shared" si="20"/>
        <v>-0.22285714285716551</v>
      </c>
    </row>
    <row r="137" spans="1:11" ht="15" customHeight="1" x14ac:dyDescent="0.2">
      <c r="C137" s="106">
        <v>4</v>
      </c>
      <c r="D137" s="105">
        <f t="shared" si="17"/>
        <v>111.5</v>
      </c>
      <c r="E137" s="114">
        <f>(E$126*($C137)^3)+(E$127*($C137)^2)+(E$128*($C137)^1)+(E$129)</f>
        <v>111.64857142857146</v>
      </c>
      <c r="F137" s="2"/>
      <c r="H137" s="106">
        <v>4</v>
      </c>
      <c r="I137" s="393">
        <f t="shared" si="18"/>
        <v>111.64857142857146</v>
      </c>
      <c r="J137" s="105">
        <f t="shared" si="19"/>
        <v>111.5</v>
      </c>
      <c r="K137" s="412">
        <f t="shared" si="20"/>
        <v>0.14857142857145789</v>
      </c>
    </row>
    <row r="138" spans="1:11" ht="15" customHeight="1" x14ac:dyDescent="0.2">
      <c r="C138" s="106">
        <v>5</v>
      </c>
      <c r="D138" s="110">
        <f t="shared" si="17"/>
        <v>125.7</v>
      </c>
      <c r="E138" s="114">
        <f>(E$126*($C138)^3)+(E$127*($C138)^2)+(E$128*($C138)^1)+(E$129)</f>
        <v>125.66285714285716</v>
      </c>
      <c r="F138" s="115"/>
      <c r="H138" s="106">
        <v>5</v>
      </c>
      <c r="I138" s="393">
        <f t="shared" si="18"/>
        <v>125.66285714285716</v>
      </c>
      <c r="J138" s="110">
        <f t="shared" si="19"/>
        <v>125.7</v>
      </c>
      <c r="K138" s="411">
        <f t="shared" si="20"/>
        <v>-3.7142857142839603E-2</v>
      </c>
    </row>
    <row r="139" spans="1:11" ht="15" customHeight="1" x14ac:dyDescent="0.2">
      <c r="C139" s="106">
        <v>10</v>
      </c>
      <c r="D139" s="105">
        <f t="shared" si="17"/>
        <v>189.3</v>
      </c>
      <c r="E139" s="114"/>
      <c r="F139" s="115">
        <f>(F$126*($C139)^3)+(F$127*($C139)^2)+(F$128*($C139)^1)+(F$129)</f>
        <v>189.29000000000002</v>
      </c>
      <c r="H139" s="106">
        <v>10</v>
      </c>
      <c r="I139" s="393">
        <f>F139</f>
        <v>189.29000000000002</v>
      </c>
      <c r="J139" s="105">
        <f t="shared" si="19"/>
        <v>189.3</v>
      </c>
      <c r="K139" s="412">
        <f t="shared" si="20"/>
        <v>-9.9999999999909051E-3</v>
      </c>
    </row>
    <row r="140" spans="1:11" ht="15" customHeight="1" x14ac:dyDescent="0.2">
      <c r="C140" s="106">
        <v>20</v>
      </c>
      <c r="D140" s="105">
        <f t="shared" si="17"/>
        <v>309.60000000000002</v>
      </c>
      <c r="E140" s="2"/>
      <c r="F140" s="115">
        <f t="shared" ref="F140:F143" si="22">(F$126*($C140)^3)+(F$127*($C140)^2)+(F$128*($C140)^1)+(F$129)</f>
        <v>309.6400000000001</v>
      </c>
      <c r="H140" s="106">
        <v>20</v>
      </c>
      <c r="I140" s="393">
        <f t="shared" ref="I140:I143" si="23">F140</f>
        <v>309.6400000000001</v>
      </c>
      <c r="J140" s="105">
        <f t="shared" si="19"/>
        <v>309.60000000000002</v>
      </c>
      <c r="K140" s="412">
        <f t="shared" si="20"/>
        <v>4.0000000000077307E-2</v>
      </c>
    </row>
    <row r="141" spans="1:11" ht="15" customHeight="1" x14ac:dyDescent="0.2">
      <c r="B141" s="28" t="s">
        <v>297</v>
      </c>
      <c r="C141" s="106">
        <v>30</v>
      </c>
      <c r="D141" s="105">
        <f t="shared" si="17"/>
        <v>413.1</v>
      </c>
      <c r="E141" s="2"/>
      <c r="F141" s="115">
        <f t="shared" si="22"/>
        <v>413.04000000000008</v>
      </c>
      <c r="H141" s="106">
        <v>30</v>
      </c>
      <c r="I141" s="393">
        <f t="shared" si="23"/>
        <v>413.04000000000008</v>
      </c>
      <c r="J141" s="105">
        <f t="shared" si="19"/>
        <v>413.1</v>
      </c>
      <c r="K141" s="412">
        <f t="shared" si="20"/>
        <v>-5.999999999994543E-2</v>
      </c>
    </row>
    <row r="142" spans="1:11" ht="15" customHeight="1" x14ac:dyDescent="0.2">
      <c r="C142" s="106">
        <v>40</v>
      </c>
      <c r="D142" s="105">
        <f t="shared" si="17"/>
        <v>507.7</v>
      </c>
      <c r="E142" s="2"/>
      <c r="F142" s="115">
        <f t="shared" si="22"/>
        <v>507.74000000000007</v>
      </c>
      <c r="H142" s="106">
        <v>40</v>
      </c>
      <c r="I142" s="393">
        <f t="shared" si="23"/>
        <v>507.74000000000007</v>
      </c>
      <c r="J142" s="105">
        <f t="shared" si="19"/>
        <v>507.7</v>
      </c>
      <c r="K142" s="412">
        <f t="shared" si="20"/>
        <v>4.0000000000077307E-2</v>
      </c>
    </row>
    <row r="143" spans="1:11" ht="15" customHeight="1" x14ac:dyDescent="0.2">
      <c r="C143" s="106">
        <v>50</v>
      </c>
      <c r="D143" s="110">
        <f t="shared" si="17"/>
        <v>602</v>
      </c>
      <c r="E143" s="2"/>
      <c r="F143" s="115">
        <f t="shared" si="22"/>
        <v>601.9899999999999</v>
      </c>
      <c r="H143" s="106">
        <v>50</v>
      </c>
      <c r="I143" s="394">
        <f t="shared" si="23"/>
        <v>601.9899999999999</v>
      </c>
      <c r="J143" s="110">
        <f t="shared" si="19"/>
        <v>602</v>
      </c>
      <c r="K143" s="411">
        <f t="shared" si="20"/>
        <v>-1.0000000000104592E-2</v>
      </c>
    </row>
    <row r="144" spans="1:11" ht="15" customHeight="1" x14ac:dyDescent="0.2">
      <c r="I144" s="38"/>
    </row>
    <row r="145" spans="1:25" ht="15" customHeight="1" x14ac:dyDescent="0.2">
      <c r="D145" s="602">
        <f>D135/D134</f>
        <v>1.9013333333333333</v>
      </c>
      <c r="E145" s="603">
        <f>D138/D135</f>
        <v>1.7629733520336608</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38.250857142857157</v>
      </c>
      <c r="D157" s="119">
        <f>I134</f>
        <v>37.46285714285716</v>
      </c>
      <c r="E157" s="118">
        <v>0.78800000000000003</v>
      </c>
      <c r="F157" s="152">
        <f>E157/D157</f>
        <v>2.1034167175106762E-2</v>
      </c>
      <c r="G157" s="374">
        <f t="shared" ref="G157:G166" si="24">G30</f>
        <v>0.9</v>
      </c>
      <c r="H157" s="375">
        <f>E157-G157</f>
        <v>-0.11199999999999999</v>
      </c>
      <c r="J157" s="917">
        <f>C59</f>
        <v>2.1000000000000001E-2</v>
      </c>
      <c r="K157" s="150">
        <f>J157-F157</f>
        <v>-3.4167175106760567E-5</v>
      </c>
      <c r="M157" s="402">
        <f>C157/D157</f>
        <v>1.0210341671751066</v>
      </c>
      <c r="N157" s="143">
        <f>D157*M157</f>
        <v>38.250857142857157</v>
      </c>
      <c r="O157" s="287">
        <f t="shared" ref="O157:O166" si="25">N157-C157</f>
        <v>0</v>
      </c>
      <c r="P157" s="288">
        <f>J157/F157</f>
        <v>0.99837563451776701</v>
      </c>
      <c r="Q157" s="289">
        <f t="shared" ref="Q157:Q166" si="26">P157*E157</f>
        <v>0.78672000000000042</v>
      </c>
      <c r="R157" s="267" t="s">
        <v>200</v>
      </c>
      <c r="U157" s="152">
        <f>E157/D157</f>
        <v>2.1034167175106762E-2</v>
      </c>
      <c r="Y157">
        <f>1.6/1.99</f>
        <v>0.8040201005025126</v>
      </c>
    </row>
    <row r="158" spans="1:25" ht="15" customHeight="1" x14ac:dyDescent="0.2">
      <c r="A158" s="118">
        <v>1.6</v>
      </c>
      <c r="B158" s="106">
        <v>2</v>
      </c>
      <c r="C158" s="120">
        <f t="shared" ref="C158:C166" si="27">D158+E158</f>
        <v>73.588571428571385</v>
      </c>
      <c r="D158" s="120">
        <f t="shared" ref="D158:D166" si="28">I135</f>
        <v>71.448571428571384</v>
      </c>
      <c r="E158" s="118">
        <v>2.14</v>
      </c>
      <c r="F158" s="153">
        <f t="shared" ref="F158:F166" si="29">E158/D158</f>
        <v>2.9951613548206524E-2</v>
      </c>
      <c r="G158" s="376">
        <f t="shared" si="24"/>
        <v>1.6</v>
      </c>
      <c r="H158" s="377">
        <f t="shared" ref="H158:H166" si="30">E158-G158</f>
        <v>0.54</v>
      </c>
      <c r="J158" s="402">
        <f t="shared" ref="J158:J166" si="31">C60</f>
        <v>0.03</v>
      </c>
      <c r="K158" s="150">
        <f t="shared" ref="K158:K165" si="32">J158-F158</f>
        <v>4.8386451793475116E-5</v>
      </c>
      <c r="M158" s="402">
        <f t="shared" ref="M158:M166" si="33">C158/D158</f>
        <v>1.0299516135482065</v>
      </c>
      <c r="N158" s="144">
        <f t="shared" ref="N158:N166" si="34">D158*M158</f>
        <v>73.588571428571385</v>
      </c>
      <c r="O158" s="287">
        <f t="shared" si="25"/>
        <v>0</v>
      </c>
      <c r="P158" s="288">
        <f t="shared" ref="P158:P166" si="35">J158/F158</f>
        <v>1.0016154873164211</v>
      </c>
      <c r="Q158" s="290">
        <f t="shared" si="26"/>
        <v>2.1434571428571414</v>
      </c>
      <c r="R158" s="267" t="s">
        <v>312</v>
      </c>
      <c r="U158" s="152">
        <f t="shared" ref="U158:U166" si="36">E158/D158</f>
        <v>2.9951613548206524E-2</v>
      </c>
    </row>
    <row r="159" spans="1:25" ht="15" customHeight="1" x14ac:dyDescent="0.2">
      <c r="A159" s="118">
        <v>2.6</v>
      </c>
      <c r="B159" s="106">
        <v>3</v>
      </c>
      <c r="C159" s="121">
        <f t="shared" si="27"/>
        <v>98.577142857142832</v>
      </c>
      <c r="D159" s="121">
        <f t="shared" si="28"/>
        <v>94.877142857142829</v>
      </c>
      <c r="E159" s="118">
        <v>3.7</v>
      </c>
      <c r="F159" s="154">
        <f t="shared" si="29"/>
        <v>3.8997801668322958E-2</v>
      </c>
      <c r="G159" s="378">
        <f t="shared" si="24"/>
        <v>2.6</v>
      </c>
      <c r="H159" s="379">
        <f t="shared" si="30"/>
        <v>1.1000000000000001</v>
      </c>
      <c r="J159" s="402">
        <f t="shared" si="31"/>
        <v>3.9E-2</v>
      </c>
      <c r="K159" s="150">
        <f t="shared" si="32"/>
        <v>2.1983316770418648E-6</v>
      </c>
      <c r="M159" s="402">
        <f t="shared" si="33"/>
        <v>1.038997801668323</v>
      </c>
      <c r="N159" s="145">
        <f t="shared" si="34"/>
        <v>98.577142857142832</v>
      </c>
      <c r="O159" s="287">
        <f t="shared" si="25"/>
        <v>0</v>
      </c>
      <c r="P159" s="288">
        <f t="shared" si="35"/>
        <v>1.0000563706563703</v>
      </c>
      <c r="Q159" s="288">
        <f t="shared" si="26"/>
        <v>3.7002085714285702</v>
      </c>
      <c r="R159" s="267" t="s">
        <v>143</v>
      </c>
      <c r="U159" s="152">
        <f t="shared" si="36"/>
        <v>3.8997801668322958E-2</v>
      </c>
    </row>
    <row r="160" spans="1:25" ht="15" customHeight="1" x14ac:dyDescent="0.2">
      <c r="A160" s="118">
        <v>3.8</v>
      </c>
      <c r="B160" s="106">
        <v>4</v>
      </c>
      <c r="C160" s="121">
        <f t="shared" si="27"/>
        <v>117.06857142857146</v>
      </c>
      <c r="D160" s="121">
        <f t="shared" si="28"/>
        <v>111.64857142857146</v>
      </c>
      <c r="E160" s="118">
        <v>5.42</v>
      </c>
      <c r="F160" s="154">
        <f t="shared" si="29"/>
        <v>4.8545180029173157E-2</v>
      </c>
      <c r="G160" s="378">
        <f t="shared" si="24"/>
        <v>3.8</v>
      </c>
      <c r="H160" s="379">
        <f t="shared" si="30"/>
        <v>1.62</v>
      </c>
      <c r="J160" s="402">
        <f t="shared" si="31"/>
        <v>4.8499999999999995E-2</v>
      </c>
      <c r="K160" s="150">
        <f t="shared" si="32"/>
        <v>-4.5180029173162717E-5</v>
      </c>
      <c r="M160" s="402">
        <f t="shared" si="33"/>
        <v>1.0485451800291732</v>
      </c>
      <c r="N160" s="145">
        <f t="shared" si="34"/>
        <v>117.06857142857146</v>
      </c>
      <c r="O160" s="287">
        <f t="shared" si="25"/>
        <v>0</v>
      </c>
      <c r="P160" s="288">
        <f t="shared" si="35"/>
        <v>0.99906931997891424</v>
      </c>
      <c r="Q160" s="288">
        <f t="shared" si="26"/>
        <v>5.414955714285715</v>
      </c>
      <c r="R160" s="88" t="s">
        <v>142</v>
      </c>
      <c r="U160" s="152">
        <f t="shared" si="36"/>
        <v>4.8545180029173157E-2</v>
      </c>
    </row>
    <row r="161" spans="1:25" ht="15" customHeight="1" x14ac:dyDescent="0.2">
      <c r="A161" s="118">
        <v>5.0999999999999996</v>
      </c>
      <c r="B161" s="106">
        <v>5</v>
      </c>
      <c r="C161" s="120">
        <f t="shared" si="27"/>
        <v>132.95285714285717</v>
      </c>
      <c r="D161" s="120">
        <f t="shared" si="28"/>
        <v>125.66285714285716</v>
      </c>
      <c r="E161" s="118">
        <v>7.29</v>
      </c>
      <c r="F161" s="153">
        <f t="shared" si="29"/>
        <v>5.8012368696284837E-2</v>
      </c>
      <c r="G161" s="376">
        <f t="shared" si="24"/>
        <v>5.0999999999999996</v>
      </c>
      <c r="H161" s="377">
        <f t="shared" si="30"/>
        <v>2.1900000000000004</v>
      </c>
      <c r="J161" s="402">
        <f t="shared" si="31"/>
        <v>5.7999999999999996E-2</v>
      </c>
      <c r="K161" s="150">
        <f t="shared" si="32"/>
        <v>-1.2368696284840996E-5</v>
      </c>
      <c r="M161" s="402">
        <f t="shared" si="33"/>
        <v>1.0580123686962848</v>
      </c>
      <c r="N161" s="144">
        <f t="shared" si="34"/>
        <v>132.95285714285717</v>
      </c>
      <c r="O161" s="287">
        <f t="shared" si="25"/>
        <v>0</v>
      </c>
      <c r="P161" s="288">
        <f t="shared" si="35"/>
        <v>0.9997867920830884</v>
      </c>
      <c r="Q161" s="290">
        <f t="shared" si="26"/>
        <v>7.2884457142857144</v>
      </c>
      <c r="U161" s="152">
        <f t="shared" si="36"/>
        <v>5.8012368696284837E-2</v>
      </c>
      <c r="Y161">
        <f>0.9/0.75</f>
        <v>1.2</v>
      </c>
    </row>
    <row r="162" spans="1:25" ht="15" customHeight="1" x14ac:dyDescent="0.2">
      <c r="A162" s="118">
        <v>15.1</v>
      </c>
      <c r="B162" s="106">
        <v>10</v>
      </c>
      <c r="C162" s="121">
        <f t="shared" si="27"/>
        <v>208.97000000000003</v>
      </c>
      <c r="D162" s="121">
        <f t="shared" si="28"/>
        <v>189.29000000000002</v>
      </c>
      <c r="E162" s="118">
        <v>19.68</v>
      </c>
      <c r="F162" s="154">
        <f t="shared" si="29"/>
        <v>0.1039674573405885</v>
      </c>
      <c r="G162" s="378">
        <f t="shared" si="24"/>
        <v>15.1</v>
      </c>
      <c r="H162" s="379">
        <f t="shared" si="30"/>
        <v>4.58</v>
      </c>
      <c r="J162" s="402">
        <f t="shared" si="31"/>
        <v>0.10400000000000001</v>
      </c>
      <c r="K162" s="150">
        <f t="shared" si="32"/>
        <v>3.2542659411508024E-5</v>
      </c>
      <c r="M162" s="402">
        <f t="shared" si="33"/>
        <v>1.1039674573405884</v>
      </c>
      <c r="N162" s="145">
        <f t="shared" si="34"/>
        <v>208.97</v>
      </c>
      <c r="O162" s="287">
        <f t="shared" si="25"/>
        <v>0</v>
      </c>
      <c r="P162" s="288">
        <f t="shared" si="35"/>
        <v>1.0003130081300815</v>
      </c>
      <c r="Q162" s="288">
        <f t="shared" si="26"/>
        <v>19.686160000000005</v>
      </c>
      <c r="U162" s="152">
        <f t="shared" si="36"/>
        <v>0.1039674573405885</v>
      </c>
    </row>
    <row r="163" spans="1:25" ht="15" customHeight="1" x14ac:dyDescent="0.2">
      <c r="A163" s="118">
        <v>44</v>
      </c>
      <c r="B163" s="106">
        <v>20</v>
      </c>
      <c r="C163" s="121">
        <f t="shared" si="27"/>
        <v>356.09000000000009</v>
      </c>
      <c r="D163" s="121">
        <f t="shared" si="28"/>
        <v>309.6400000000001</v>
      </c>
      <c r="E163" s="118">
        <v>46.45</v>
      </c>
      <c r="F163" s="154">
        <f t="shared" si="29"/>
        <v>0.15001291822761914</v>
      </c>
      <c r="G163" s="378">
        <f t="shared" si="24"/>
        <v>44</v>
      </c>
      <c r="H163" s="379">
        <f t="shared" si="30"/>
        <v>2.4500000000000028</v>
      </c>
      <c r="J163" s="402">
        <f t="shared" si="31"/>
        <v>0.15</v>
      </c>
      <c r="K163" s="150">
        <f t="shared" si="32"/>
        <v>-1.2918227619146405E-5</v>
      </c>
      <c r="M163" s="402">
        <f t="shared" si="33"/>
        <v>1.1500129182276191</v>
      </c>
      <c r="N163" s="145">
        <f t="shared" si="34"/>
        <v>356.09000000000009</v>
      </c>
      <c r="O163" s="287">
        <f t="shared" si="25"/>
        <v>0</v>
      </c>
      <c r="P163" s="288">
        <f t="shared" si="35"/>
        <v>0.99991388589881613</v>
      </c>
      <c r="Q163" s="288">
        <f t="shared" si="26"/>
        <v>46.446000000000012</v>
      </c>
      <c r="U163" s="152">
        <f t="shared" si="36"/>
        <v>0.15001291822761914</v>
      </c>
    </row>
    <row r="164" spans="1:25" ht="15" customHeight="1" x14ac:dyDescent="0.2">
      <c r="A164" s="118">
        <v>63.1</v>
      </c>
      <c r="B164" s="106">
        <v>30</v>
      </c>
      <c r="C164" s="121">
        <f>D164+E164</f>
        <v>474.99000000000007</v>
      </c>
      <c r="D164" s="121">
        <f t="shared" si="28"/>
        <v>413.04000000000008</v>
      </c>
      <c r="E164" s="118">
        <v>61.95</v>
      </c>
      <c r="F164" s="154">
        <f t="shared" si="29"/>
        <v>0.1499854735618826</v>
      </c>
      <c r="G164" s="378">
        <f t="shared" si="24"/>
        <v>63.1</v>
      </c>
      <c r="H164" s="379">
        <f t="shared" si="30"/>
        <v>-1.1499999999999986</v>
      </c>
      <c r="J164" s="402">
        <f t="shared" si="31"/>
        <v>0.15</v>
      </c>
      <c r="K164" s="150">
        <f t="shared" si="32"/>
        <v>1.4526438117390406E-5</v>
      </c>
      <c r="M164" s="402">
        <f t="shared" si="33"/>
        <v>1.1499854735618826</v>
      </c>
      <c r="N164" s="145">
        <f t="shared" si="34"/>
        <v>474.99000000000007</v>
      </c>
      <c r="O164" s="287">
        <f t="shared" si="25"/>
        <v>0</v>
      </c>
      <c r="P164" s="288">
        <f t="shared" si="35"/>
        <v>1.0000968523002423</v>
      </c>
      <c r="Q164" s="288">
        <f t="shared" si="26"/>
        <v>61.95600000000001</v>
      </c>
      <c r="U164" s="152">
        <f t="shared" si="36"/>
        <v>0.1499854735618826</v>
      </c>
    </row>
    <row r="165" spans="1:25" ht="15" customHeight="1" x14ac:dyDescent="0.2">
      <c r="A165" s="118">
        <v>78.8</v>
      </c>
      <c r="B165" s="106">
        <v>40</v>
      </c>
      <c r="C165" s="121">
        <f t="shared" si="27"/>
        <v>583.8900000000001</v>
      </c>
      <c r="D165" s="121">
        <f t="shared" si="28"/>
        <v>507.74000000000007</v>
      </c>
      <c r="E165" s="118">
        <v>76.150000000000006</v>
      </c>
      <c r="F165" s="154">
        <f t="shared" si="29"/>
        <v>0.14997833536849567</v>
      </c>
      <c r="G165" s="378">
        <f t="shared" si="24"/>
        <v>78.8</v>
      </c>
      <c r="H165" s="379">
        <f t="shared" si="30"/>
        <v>-2.6499999999999915</v>
      </c>
      <c r="J165" s="402">
        <f t="shared" si="31"/>
        <v>0.15</v>
      </c>
      <c r="K165" s="150">
        <f t="shared" si="32"/>
        <v>2.1664631504325627E-5</v>
      </c>
      <c r="M165" s="402">
        <f t="shared" si="33"/>
        <v>1.1499783353684958</v>
      </c>
      <c r="N165" s="145">
        <f t="shared" si="34"/>
        <v>583.8900000000001</v>
      </c>
      <c r="O165" s="287">
        <f t="shared" si="25"/>
        <v>0</v>
      </c>
      <c r="P165" s="288">
        <f t="shared" si="35"/>
        <v>1.0001444517399869</v>
      </c>
      <c r="Q165" s="288">
        <f t="shared" si="26"/>
        <v>76.161000000000001</v>
      </c>
      <c r="U165" s="152">
        <f t="shared" si="36"/>
        <v>0.14997833536849567</v>
      </c>
    </row>
    <row r="166" spans="1:25" ht="15" customHeight="1" x14ac:dyDescent="0.2">
      <c r="A166" s="118">
        <v>93.8</v>
      </c>
      <c r="B166" s="106">
        <v>50</v>
      </c>
      <c r="C166" s="120">
        <f t="shared" si="27"/>
        <v>692.28999999999985</v>
      </c>
      <c r="D166" s="120">
        <f t="shared" si="28"/>
        <v>601.9899999999999</v>
      </c>
      <c r="E166" s="118">
        <v>90.3</v>
      </c>
      <c r="F166" s="153">
        <f t="shared" si="29"/>
        <v>0.15000249173574315</v>
      </c>
      <c r="G166" s="380">
        <f t="shared" si="24"/>
        <v>93.8</v>
      </c>
      <c r="H166" s="381">
        <f t="shared" si="30"/>
        <v>-3.5</v>
      </c>
      <c r="J166" s="403">
        <f t="shared" si="31"/>
        <v>0.15</v>
      </c>
      <c r="K166" s="151">
        <f>J166-F166</f>
        <v>-2.4917357431541998E-6</v>
      </c>
      <c r="M166" s="403">
        <f t="shared" si="33"/>
        <v>1.150002491735743</v>
      </c>
      <c r="N166" s="146">
        <f t="shared" si="34"/>
        <v>692.28999999999985</v>
      </c>
      <c r="O166" s="287">
        <f t="shared" si="25"/>
        <v>0</v>
      </c>
      <c r="P166" s="288">
        <f t="shared" si="35"/>
        <v>0.99998338870431869</v>
      </c>
      <c r="Q166" s="290">
        <f t="shared" si="26"/>
        <v>90.298499999999976</v>
      </c>
      <c r="U166" s="152">
        <f t="shared" si="36"/>
        <v>0.15000249173574315</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c r="U182" t="s">
        <v>705</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t="s">
        <v>706</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U184" s="28" t="s">
        <v>707</v>
      </c>
    </row>
    <row r="185" spans="2:26" ht="15" customHeight="1" x14ac:dyDescent="0.2">
      <c r="B185" s="106">
        <v>1</v>
      </c>
      <c r="C185" s="119">
        <f>(D185-J185)</f>
        <v>48.250857142857157</v>
      </c>
      <c r="D185" s="698">
        <f>(F185+G185+M185+L185)+$E$179</f>
        <v>119.25085714285716</v>
      </c>
      <c r="E185" s="119">
        <f>F185+G185</f>
        <v>38.250857142857157</v>
      </c>
      <c r="F185" s="119">
        <f t="shared" ref="F185:G194" si="37">D157</f>
        <v>37.46285714285716</v>
      </c>
      <c r="G185" s="175">
        <f t="shared" si="37"/>
        <v>0.78800000000000003</v>
      </c>
      <c r="H185" s="155">
        <f>G185/F185</f>
        <v>2.1034167175106762E-2</v>
      </c>
      <c r="I185" s="119">
        <f>O185</f>
        <v>75</v>
      </c>
      <c r="J185" s="694">
        <v>71</v>
      </c>
      <c r="K185" s="690">
        <v>4</v>
      </c>
      <c r="L185" s="507">
        <f>P185</f>
        <v>6</v>
      </c>
      <c r="M185" s="497">
        <f>O185</f>
        <v>75</v>
      </c>
      <c r="N185" t="s">
        <v>34</v>
      </c>
      <c r="O185" s="417">
        <v>75</v>
      </c>
      <c r="P185" s="417">
        <v>6</v>
      </c>
      <c r="Q185" s="422">
        <v>109</v>
      </c>
      <c r="R185" s="432">
        <f>D185-Q185</f>
        <v>10.250857142857157</v>
      </c>
      <c r="S185" s="433">
        <f t="shared" ref="S185:S194" si="38">G185-G30</f>
        <v>-0.11199999999999999</v>
      </c>
      <c r="T185" s="420">
        <v>13.9</v>
      </c>
      <c r="U185">
        <v>6</v>
      </c>
      <c r="X185" s="106">
        <v>1</v>
      </c>
      <c r="Y185">
        <v>3.8</v>
      </c>
    </row>
    <row r="186" spans="2:26" ht="15" customHeight="1" x14ac:dyDescent="0.2">
      <c r="B186" s="106">
        <v>2</v>
      </c>
      <c r="C186" s="120">
        <f t="shared" ref="C186:C193" si="39">(D186-J186)</f>
        <v>86.588571428571385</v>
      </c>
      <c r="D186" s="699">
        <f t="shared" ref="D186:D193" si="40">(F186+G186+M186+L186)+$E$179</f>
        <v>157.58857142857138</v>
      </c>
      <c r="E186" s="120">
        <f t="shared" ref="E186:E191" si="41">F186+G186</f>
        <v>73.588571428571385</v>
      </c>
      <c r="F186" s="120">
        <f t="shared" si="37"/>
        <v>71.448571428571384</v>
      </c>
      <c r="G186" s="176">
        <f t="shared" si="37"/>
        <v>2.14</v>
      </c>
      <c r="H186" s="156">
        <f t="shared" ref="H186:H194" si="42">G186/F186</f>
        <v>2.9951613548206524E-2</v>
      </c>
      <c r="I186" s="120">
        <f t="shared" ref="I186:I194" si="43">O186</f>
        <v>75</v>
      </c>
      <c r="J186" s="695">
        <f>J185</f>
        <v>71</v>
      </c>
      <c r="K186" s="691">
        <v>4</v>
      </c>
      <c r="L186" s="507">
        <f t="shared" ref="L186:L194" si="44">P186</f>
        <v>9</v>
      </c>
      <c r="M186" s="497">
        <f t="shared" ref="M186:M194" si="45">O186</f>
        <v>75</v>
      </c>
      <c r="N186" t="s">
        <v>697</v>
      </c>
      <c r="O186" s="242">
        <v>75</v>
      </c>
      <c r="P186" s="419">
        <v>9</v>
      </c>
      <c r="Q186" s="423">
        <v>148</v>
      </c>
      <c r="R186" s="434">
        <f t="shared" ref="R186:R194" si="46">D186-Q186</f>
        <v>9.5885714285713846</v>
      </c>
      <c r="S186" s="435">
        <f t="shared" si="38"/>
        <v>0.54</v>
      </c>
      <c r="U186">
        <v>9</v>
      </c>
      <c r="X186" s="106">
        <v>2</v>
      </c>
      <c r="Y186">
        <v>5.0999999999999996</v>
      </c>
    </row>
    <row r="187" spans="2:26" ht="15" customHeight="1" x14ac:dyDescent="0.2">
      <c r="B187" s="106">
        <v>3</v>
      </c>
      <c r="C187" s="121">
        <f t="shared" si="39"/>
        <v>113.37714285714284</v>
      </c>
      <c r="D187" s="700">
        <f>(F187+G187+M187+L187)+$E$179</f>
        <v>184.37714285714284</v>
      </c>
      <c r="E187" s="121">
        <f t="shared" si="41"/>
        <v>98.577142857142832</v>
      </c>
      <c r="F187" s="121">
        <f t="shared" si="37"/>
        <v>94.877142857142829</v>
      </c>
      <c r="G187" s="177">
        <f t="shared" si="37"/>
        <v>3.7</v>
      </c>
      <c r="H187" s="157">
        <f t="shared" si="42"/>
        <v>3.8997801668322958E-2</v>
      </c>
      <c r="I187" s="121">
        <f t="shared" si="43"/>
        <v>75</v>
      </c>
      <c r="J187" s="696">
        <f t="shared" ref="J187:J194" si="47">J186</f>
        <v>71</v>
      </c>
      <c r="K187" s="692">
        <v>4</v>
      </c>
      <c r="L187" s="507">
        <f t="shared" si="44"/>
        <v>10.8</v>
      </c>
      <c r="M187" s="497">
        <f t="shared" si="45"/>
        <v>75</v>
      </c>
      <c r="O187" s="243">
        <v>75</v>
      </c>
      <c r="P187" s="243">
        <v>10.8</v>
      </c>
      <c r="Q187" s="424">
        <v>172</v>
      </c>
      <c r="R187" s="436">
        <f t="shared" si="46"/>
        <v>12.377142857142843</v>
      </c>
      <c r="S187" s="437">
        <f t="shared" si="38"/>
        <v>1.1000000000000001</v>
      </c>
      <c r="U187">
        <v>10.8</v>
      </c>
      <c r="X187" s="106">
        <v>3</v>
      </c>
      <c r="Y187">
        <v>6.2</v>
      </c>
    </row>
    <row r="188" spans="2:26" ht="15" customHeight="1" x14ac:dyDescent="0.2">
      <c r="B188" s="106">
        <v>4</v>
      </c>
      <c r="C188" s="121">
        <f t="shared" si="39"/>
        <v>133.06857142857146</v>
      </c>
      <c r="D188" s="700">
        <f t="shared" si="40"/>
        <v>204.06857142857146</v>
      </c>
      <c r="E188" s="121">
        <f t="shared" si="41"/>
        <v>117.06857142857146</v>
      </c>
      <c r="F188" s="121">
        <f t="shared" si="37"/>
        <v>111.64857142857146</v>
      </c>
      <c r="G188" s="177">
        <f t="shared" si="37"/>
        <v>5.42</v>
      </c>
      <c r="H188" s="157">
        <f t="shared" si="42"/>
        <v>4.8545180029173157E-2</v>
      </c>
      <c r="I188" s="121">
        <f t="shared" si="43"/>
        <v>75</v>
      </c>
      <c r="J188" s="696">
        <f t="shared" si="47"/>
        <v>71</v>
      </c>
      <c r="K188" s="692">
        <v>4</v>
      </c>
      <c r="L188" s="507">
        <f t="shared" si="44"/>
        <v>12</v>
      </c>
      <c r="M188" s="497">
        <f t="shared" si="45"/>
        <v>75</v>
      </c>
      <c r="O188" s="243">
        <v>75</v>
      </c>
      <c r="P188" s="243">
        <v>12</v>
      </c>
      <c r="Q188" s="424">
        <v>191</v>
      </c>
      <c r="R188" s="436">
        <f t="shared" si="46"/>
        <v>13.06857142857146</v>
      </c>
      <c r="S188" s="437">
        <f t="shared" si="38"/>
        <v>1.62</v>
      </c>
      <c r="U188">
        <v>12</v>
      </c>
      <c r="X188" s="106">
        <v>4</v>
      </c>
      <c r="Y188">
        <v>7.1</v>
      </c>
    </row>
    <row r="189" spans="2:26" ht="15" customHeight="1" x14ac:dyDescent="0.2">
      <c r="B189" s="106">
        <v>5</v>
      </c>
      <c r="C189" s="120">
        <f t="shared" si="39"/>
        <v>149.45285714285717</v>
      </c>
      <c r="D189" s="699">
        <f t="shared" si="40"/>
        <v>220.45285714285717</v>
      </c>
      <c r="E189" s="120">
        <f t="shared" si="41"/>
        <v>132.95285714285717</v>
      </c>
      <c r="F189" s="120">
        <f t="shared" si="37"/>
        <v>125.66285714285716</v>
      </c>
      <c r="G189" s="176">
        <f t="shared" si="37"/>
        <v>7.29</v>
      </c>
      <c r="H189" s="156">
        <f t="shared" si="42"/>
        <v>5.8012368696284837E-2</v>
      </c>
      <c r="I189" s="120">
        <f t="shared" si="43"/>
        <v>75</v>
      </c>
      <c r="J189" s="695">
        <f t="shared" si="47"/>
        <v>71</v>
      </c>
      <c r="K189" s="691">
        <v>4</v>
      </c>
      <c r="L189" s="507">
        <f t="shared" si="44"/>
        <v>12.5</v>
      </c>
      <c r="M189" s="497">
        <f t="shared" si="45"/>
        <v>75</v>
      </c>
      <c r="O189" s="242">
        <v>75</v>
      </c>
      <c r="P189" s="242">
        <v>12.5</v>
      </c>
      <c r="Q189" s="423">
        <v>209</v>
      </c>
      <c r="R189" s="434">
        <f t="shared" si="46"/>
        <v>11.452857142857169</v>
      </c>
      <c r="S189" s="435">
        <f t="shared" si="38"/>
        <v>2.1900000000000004</v>
      </c>
      <c r="U189">
        <v>12.5</v>
      </c>
      <c r="X189" s="106">
        <v>5</v>
      </c>
      <c r="Y189">
        <v>8</v>
      </c>
    </row>
    <row r="190" spans="2:26" ht="15" customHeight="1" x14ac:dyDescent="0.2">
      <c r="B190" s="106">
        <v>10</v>
      </c>
      <c r="C190" s="121">
        <f t="shared" si="39"/>
        <v>226.57000000000005</v>
      </c>
      <c r="D190" s="700">
        <f t="shared" si="40"/>
        <v>297.57000000000005</v>
      </c>
      <c r="E190" s="121">
        <f t="shared" si="41"/>
        <v>208.97000000000003</v>
      </c>
      <c r="F190" s="121">
        <f t="shared" si="37"/>
        <v>189.29000000000002</v>
      </c>
      <c r="G190" s="177">
        <f t="shared" si="37"/>
        <v>19.68</v>
      </c>
      <c r="H190" s="157">
        <f t="shared" si="42"/>
        <v>0.1039674573405885</v>
      </c>
      <c r="I190" s="121">
        <f t="shared" si="43"/>
        <v>75</v>
      </c>
      <c r="J190" s="696">
        <f t="shared" si="47"/>
        <v>71</v>
      </c>
      <c r="K190" s="692">
        <v>4</v>
      </c>
      <c r="L190" s="507">
        <f t="shared" si="44"/>
        <v>13.6</v>
      </c>
      <c r="M190" s="497">
        <f t="shared" si="45"/>
        <v>75</v>
      </c>
      <c r="O190" s="243">
        <v>75</v>
      </c>
      <c r="P190" s="243">
        <v>13.6</v>
      </c>
      <c r="Q190" s="424">
        <v>287</v>
      </c>
      <c r="R190" s="436">
        <f t="shared" si="46"/>
        <v>10.57000000000005</v>
      </c>
      <c r="S190" s="437">
        <f t="shared" si="38"/>
        <v>4.58</v>
      </c>
      <c r="U190">
        <v>13.6</v>
      </c>
      <c r="X190" s="106">
        <v>10</v>
      </c>
      <c r="Y190">
        <v>10.199999999999999</v>
      </c>
    </row>
    <row r="191" spans="2:26" ht="15" customHeight="1" x14ac:dyDescent="0.2">
      <c r="B191" s="106">
        <v>20</v>
      </c>
      <c r="C191" s="121">
        <f t="shared" si="39"/>
        <v>374.69000000000011</v>
      </c>
      <c r="D191" s="700">
        <f t="shared" si="40"/>
        <v>445.69000000000011</v>
      </c>
      <c r="E191" s="121">
        <f t="shared" si="41"/>
        <v>356.09000000000009</v>
      </c>
      <c r="F191" s="121">
        <f t="shared" si="37"/>
        <v>309.6400000000001</v>
      </c>
      <c r="G191" s="177">
        <f t="shared" si="37"/>
        <v>46.45</v>
      </c>
      <c r="H191" s="157">
        <f t="shared" si="42"/>
        <v>0.15001291822761914</v>
      </c>
      <c r="I191" s="121">
        <f t="shared" si="43"/>
        <v>75</v>
      </c>
      <c r="J191" s="696">
        <f t="shared" si="47"/>
        <v>71</v>
      </c>
      <c r="K191" s="692">
        <v>4</v>
      </c>
      <c r="L191" s="507">
        <f t="shared" si="44"/>
        <v>14.6</v>
      </c>
      <c r="M191" s="497">
        <f t="shared" si="45"/>
        <v>75</v>
      </c>
      <c r="O191" s="243">
        <v>75</v>
      </c>
      <c r="P191" s="243">
        <v>14.6</v>
      </c>
      <c r="Q191" s="424">
        <v>439</v>
      </c>
      <c r="R191" s="436">
        <f t="shared" si="46"/>
        <v>6.6900000000001114</v>
      </c>
      <c r="S191" s="437">
        <f t="shared" si="38"/>
        <v>2.4500000000000028</v>
      </c>
      <c r="U191">
        <v>14.6</v>
      </c>
      <c r="X191" s="106">
        <v>20</v>
      </c>
      <c r="Y191">
        <v>11.8</v>
      </c>
    </row>
    <row r="192" spans="2:26" ht="15" customHeight="1" x14ac:dyDescent="0.2">
      <c r="B192" s="106">
        <v>30</v>
      </c>
      <c r="C192" s="121">
        <f t="shared" si="39"/>
        <v>494.09000000000003</v>
      </c>
      <c r="D192" s="700">
        <f t="shared" si="40"/>
        <v>565.09</v>
      </c>
      <c r="E192" s="121">
        <f>F192+G192</f>
        <v>474.99000000000007</v>
      </c>
      <c r="F192" s="121">
        <f t="shared" si="37"/>
        <v>413.04000000000008</v>
      </c>
      <c r="G192" s="177">
        <f t="shared" si="37"/>
        <v>61.95</v>
      </c>
      <c r="H192" s="157">
        <f t="shared" si="42"/>
        <v>0.1499854735618826</v>
      </c>
      <c r="I192" s="121">
        <f t="shared" si="43"/>
        <v>75</v>
      </c>
      <c r="J192" s="696">
        <f t="shared" si="47"/>
        <v>71</v>
      </c>
      <c r="K192" s="692">
        <v>4</v>
      </c>
      <c r="L192" s="507">
        <f t="shared" si="44"/>
        <v>15.1</v>
      </c>
      <c r="M192" s="497">
        <f t="shared" si="45"/>
        <v>75</v>
      </c>
      <c r="O192" s="243">
        <v>75</v>
      </c>
      <c r="P192" s="243">
        <v>15.1</v>
      </c>
      <c r="Q192" s="424">
        <v>562</v>
      </c>
      <c r="R192" s="436">
        <f t="shared" si="46"/>
        <v>3.0900000000000318</v>
      </c>
      <c r="S192" s="437">
        <f t="shared" si="38"/>
        <v>-1.1499999999999986</v>
      </c>
      <c r="U192">
        <v>15.1</v>
      </c>
      <c r="X192" s="106">
        <v>30</v>
      </c>
      <c r="Y192">
        <v>12.4</v>
      </c>
    </row>
    <row r="193" spans="1:25" ht="15" customHeight="1" x14ac:dyDescent="0.2">
      <c r="B193" s="106">
        <v>40</v>
      </c>
      <c r="C193" s="121">
        <f t="shared" si="39"/>
        <v>604.3900000000001</v>
      </c>
      <c r="D193" s="700">
        <f t="shared" si="40"/>
        <v>675.3900000000001</v>
      </c>
      <c r="E193" s="121">
        <f t="shared" ref="E193:E194" si="48">F193+G193</f>
        <v>583.8900000000001</v>
      </c>
      <c r="F193" s="121">
        <f t="shared" si="37"/>
        <v>507.74000000000007</v>
      </c>
      <c r="G193" s="177">
        <f t="shared" si="37"/>
        <v>76.150000000000006</v>
      </c>
      <c r="H193" s="157">
        <f t="shared" si="42"/>
        <v>0.14997833536849567</v>
      </c>
      <c r="I193" s="121">
        <f t="shared" si="43"/>
        <v>76</v>
      </c>
      <c r="J193" s="696">
        <f t="shared" si="47"/>
        <v>71</v>
      </c>
      <c r="K193" s="692">
        <v>4</v>
      </c>
      <c r="L193" s="507">
        <f t="shared" si="44"/>
        <v>15.5</v>
      </c>
      <c r="M193" s="497">
        <f t="shared" si="45"/>
        <v>76</v>
      </c>
      <c r="O193" s="243">
        <v>76</v>
      </c>
      <c r="P193" s="243">
        <v>15.5</v>
      </c>
      <c r="Q193" s="424">
        <v>675</v>
      </c>
      <c r="R193" s="436">
        <f t="shared" si="46"/>
        <v>0.39000000000010004</v>
      </c>
      <c r="S193" s="437">
        <f t="shared" si="38"/>
        <v>-2.6499999999999915</v>
      </c>
      <c r="U193">
        <v>15.5</v>
      </c>
      <c r="X193" s="106">
        <v>40</v>
      </c>
      <c r="Y193">
        <v>12.9</v>
      </c>
    </row>
    <row r="194" spans="1:25" ht="15" customHeight="1" thickBot="1" x14ac:dyDescent="0.25">
      <c r="B194" s="106">
        <v>50</v>
      </c>
      <c r="C194" s="120">
        <f>(D194-J194)</f>
        <v>714.0899999999998</v>
      </c>
      <c r="D194" s="701">
        <f>(F194+G194+M194+L194)+$E$179</f>
        <v>785.0899999999998</v>
      </c>
      <c r="E194" s="120">
        <f t="shared" si="48"/>
        <v>692.28999999999985</v>
      </c>
      <c r="F194" s="120">
        <f t="shared" si="37"/>
        <v>601.9899999999999</v>
      </c>
      <c r="G194" s="176">
        <f t="shared" si="37"/>
        <v>90.3</v>
      </c>
      <c r="H194" s="156">
        <f t="shared" si="42"/>
        <v>0.15000249173574315</v>
      </c>
      <c r="I194" s="120">
        <f t="shared" si="43"/>
        <v>77</v>
      </c>
      <c r="J194" s="697">
        <f t="shared" si="47"/>
        <v>71</v>
      </c>
      <c r="K194" s="693">
        <v>4</v>
      </c>
      <c r="L194" s="507">
        <f t="shared" si="44"/>
        <v>15.8</v>
      </c>
      <c r="M194" s="497">
        <f t="shared" si="45"/>
        <v>77</v>
      </c>
      <c r="O194" s="554">
        <v>77</v>
      </c>
      <c r="P194" s="242">
        <v>15.8</v>
      </c>
      <c r="Q194" s="423">
        <v>786</v>
      </c>
      <c r="R194" s="438">
        <f t="shared" si="46"/>
        <v>-0.91000000000019554</v>
      </c>
      <c r="S194" s="439">
        <f t="shared" si="38"/>
        <v>-3.5</v>
      </c>
      <c r="U194">
        <v>15.8</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1.2813173755812395</v>
      </c>
      <c r="G205" s="122">
        <v>1.1868524838565966</v>
      </c>
      <c r="H205" s="34">
        <f>(D206*2.20462*25.4*12)</f>
        <v>3057.4552007999996</v>
      </c>
      <c r="I205" s="5">
        <f>F205*D$205*SQRT(4*D$207*H$205/32.2)/12</f>
        <v>48.250857142857164</v>
      </c>
      <c r="J205" s="1"/>
      <c r="K205" s="22"/>
      <c r="L205" s="96">
        <v>1</v>
      </c>
      <c r="M205" s="92">
        <f>L205*I205</f>
        <v>48.250857142857164</v>
      </c>
      <c r="N205" s="13"/>
      <c r="O205" s="84">
        <v>1</v>
      </c>
      <c r="P205" s="92">
        <f>C185</f>
        <v>48.250857142857157</v>
      </c>
      <c r="Q205" s="254">
        <f>P205/M205</f>
        <v>0.99999999999999989</v>
      </c>
      <c r="R205" s="254">
        <f>G205*Q205</f>
        <v>1.1868524838565964</v>
      </c>
      <c r="S205" s="267" t="s">
        <v>138</v>
      </c>
    </row>
    <row r="206" spans="1:25" ht="15" customHeight="1" x14ac:dyDescent="0.2">
      <c r="B206" s="259" t="s">
        <v>7</v>
      </c>
      <c r="C206" s="12" t="s">
        <v>10</v>
      </c>
      <c r="D206" s="444">
        <v>4.55</v>
      </c>
      <c r="E206" s="255">
        <v>2</v>
      </c>
      <c r="F206" s="250">
        <v>1.1496939916497415</v>
      </c>
      <c r="G206" s="123">
        <v>1.0695253508573637</v>
      </c>
      <c r="H206" s="35"/>
      <c r="I206" s="5">
        <f>F206*D$205*SQRT(4*D$207*H$205/32.2)/12</f>
        <v>43.294285714285699</v>
      </c>
      <c r="J206" s="1"/>
      <c r="K206" s="22"/>
      <c r="L206" s="97">
        <v>2</v>
      </c>
      <c r="M206" s="93">
        <f>L206*I206</f>
        <v>86.588571428571399</v>
      </c>
      <c r="N206" s="13"/>
      <c r="O206" s="84">
        <v>2</v>
      </c>
      <c r="P206" s="93">
        <f t="shared" ref="P206:P214" si="49">C186</f>
        <v>86.588571428571385</v>
      </c>
      <c r="Q206" s="254">
        <f t="shared" ref="Q206:Q214" si="50">P206/M206</f>
        <v>0.99999999999999989</v>
      </c>
      <c r="R206" s="254">
        <f t="shared" ref="R206:R214" si="51">G206*Q206</f>
        <v>1.0695253508573634</v>
      </c>
      <c r="S206" s="267" t="s">
        <v>139</v>
      </c>
    </row>
    <row r="207" spans="1:25" ht="15" customHeight="1" x14ac:dyDescent="0.2">
      <c r="B207" s="261" t="s">
        <v>8</v>
      </c>
      <c r="C207" s="262" t="s">
        <v>15</v>
      </c>
      <c r="D207" s="263">
        <v>85</v>
      </c>
      <c r="E207" s="255">
        <v>3</v>
      </c>
      <c r="F207" s="249">
        <v>1.0035891017542196</v>
      </c>
      <c r="G207" s="122">
        <v>0.9437890304095834</v>
      </c>
      <c r="H207" s="35"/>
      <c r="I207" s="5">
        <f t="shared" ref="I207:I214" si="52">F207*D$205*SQRT(4*D$207*H$205/32.2)/12</f>
        <v>37.792380952380952</v>
      </c>
      <c r="J207" s="1"/>
      <c r="K207" s="22"/>
      <c r="L207" s="98">
        <v>3</v>
      </c>
      <c r="M207" s="94">
        <f t="shared" ref="M207:M213" si="53">L207*I207</f>
        <v>113.37714285714286</v>
      </c>
      <c r="N207" s="13"/>
      <c r="O207" s="84">
        <v>3</v>
      </c>
      <c r="P207" s="94">
        <f t="shared" si="49"/>
        <v>113.37714285714284</v>
      </c>
      <c r="Q207" s="254">
        <f t="shared" si="50"/>
        <v>0.99999999999999989</v>
      </c>
      <c r="R207" s="254">
        <f t="shared" si="51"/>
        <v>0.94378903040958328</v>
      </c>
    </row>
    <row r="208" spans="1:25" ht="15" customHeight="1" x14ac:dyDescent="0.2">
      <c r="E208" s="30">
        <v>4</v>
      </c>
      <c r="F208" s="249">
        <v>0.88341991630527128</v>
      </c>
      <c r="G208" s="122">
        <v>0.84117797544530981</v>
      </c>
      <c r="H208" s="35"/>
      <c r="I208" s="5">
        <f t="shared" si="52"/>
        <v>33.267142857142865</v>
      </c>
      <c r="J208" s="1"/>
      <c r="K208" s="22"/>
      <c r="L208" s="98">
        <v>4</v>
      </c>
      <c r="M208" s="94">
        <f t="shared" si="53"/>
        <v>133.06857142857146</v>
      </c>
      <c r="N208" s="13"/>
      <c r="O208" s="84">
        <v>4</v>
      </c>
      <c r="P208" s="94">
        <f t="shared" si="49"/>
        <v>133.06857142857146</v>
      </c>
      <c r="Q208" s="254">
        <f t="shared" si="50"/>
        <v>1</v>
      </c>
      <c r="R208" s="254">
        <f t="shared" si="51"/>
        <v>0.84117797544530981</v>
      </c>
    </row>
    <row r="209" spans="1:19" ht="15" customHeight="1" x14ac:dyDescent="0.2">
      <c r="B209" s="268" t="s">
        <v>132</v>
      </c>
      <c r="E209" s="30">
        <v>5</v>
      </c>
      <c r="F209" s="250">
        <v>0.79375395185389752</v>
      </c>
      <c r="G209" s="123">
        <v>0.764626549795273</v>
      </c>
      <c r="H209" s="35"/>
      <c r="I209" s="5">
        <f t="shared" si="52"/>
        <v>29.890571428571434</v>
      </c>
      <c r="J209" s="1"/>
      <c r="K209" s="22"/>
      <c r="L209" s="97">
        <v>5</v>
      </c>
      <c r="M209" s="93">
        <f t="shared" si="53"/>
        <v>149.45285714285717</v>
      </c>
      <c r="N209" s="13"/>
      <c r="O209" s="84">
        <v>5</v>
      </c>
      <c r="P209" s="93">
        <f t="shared" si="49"/>
        <v>149.45285714285717</v>
      </c>
      <c r="Q209" s="254">
        <f t="shared" si="50"/>
        <v>1</v>
      </c>
      <c r="R209" s="254">
        <f t="shared" si="51"/>
        <v>0.764626549795273</v>
      </c>
    </row>
    <row r="210" spans="1:19" ht="15" customHeight="1" x14ac:dyDescent="0.2">
      <c r="B210" s="42" t="s">
        <v>131</v>
      </c>
      <c r="E210" s="30">
        <v>10</v>
      </c>
      <c r="F210" s="249">
        <v>0.60166408427921025</v>
      </c>
      <c r="G210" s="122">
        <v>0.59452449445447331</v>
      </c>
      <c r="H210" s="35"/>
      <c r="I210" s="5">
        <f t="shared" si="52"/>
        <v>22.657</v>
      </c>
      <c r="J210" s="1"/>
      <c r="K210" s="22"/>
      <c r="L210" s="98">
        <v>10</v>
      </c>
      <c r="M210" s="94">
        <f t="shared" si="53"/>
        <v>226.57</v>
      </c>
      <c r="N210" s="13"/>
      <c r="O210" s="84">
        <v>10</v>
      </c>
      <c r="P210" s="94">
        <f t="shared" si="49"/>
        <v>226.57000000000005</v>
      </c>
      <c r="Q210" s="254">
        <f t="shared" si="50"/>
        <v>1.0000000000000002</v>
      </c>
      <c r="R210" s="254">
        <f t="shared" si="51"/>
        <v>0.59452449445447342</v>
      </c>
    </row>
    <row r="211" spans="1:19" ht="15" customHeight="1" x14ac:dyDescent="0.2">
      <c r="E211" s="30">
        <v>20</v>
      </c>
      <c r="F211" s="249">
        <v>0.49750080712048661</v>
      </c>
      <c r="G211" s="122">
        <v>0.49490407532716435</v>
      </c>
      <c r="H211" s="35"/>
      <c r="I211" s="5">
        <f t="shared" si="52"/>
        <v>18.734500000000004</v>
      </c>
      <c r="J211" s="1"/>
      <c r="K211" s="22"/>
      <c r="L211" s="98">
        <v>20</v>
      </c>
      <c r="M211" s="94">
        <f t="shared" si="53"/>
        <v>374.69000000000005</v>
      </c>
      <c r="N211" s="13"/>
      <c r="O211" s="84">
        <v>20</v>
      </c>
      <c r="P211" s="94">
        <f t="shared" si="49"/>
        <v>374.69000000000011</v>
      </c>
      <c r="Q211" s="254">
        <f t="shared" si="50"/>
        <v>1.0000000000000002</v>
      </c>
      <c r="R211" s="254">
        <f t="shared" si="51"/>
        <v>0.49490407532716446</v>
      </c>
    </row>
    <row r="212" spans="1:19" ht="15" customHeight="1" x14ac:dyDescent="0.2">
      <c r="E212" s="30">
        <v>30</v>
      </c>
      <c r="F212" s="249">
        <v>0.43735741331084571</v>
      </c>
      <c r="G212" s="122">
        <v>0.43674537620932741</v>
      </c>
      <c r="H212" s="35"/>
      <c r="I212" s="5">
        <f t="shared" si="52"/>
        <v>16.469666666666665</v>
      </c>
      <c r="J212" s="1"/>
      <c r="K212" s="22"/>
      <c r="L212" s="98">
        <v>30</v>
      </c>
      <c r="M212" s="94">
        <f>L212*I212</f>
        <v>494.09</v>
      </c>
      <c r="N212" s="13"/>
      <c r="O212" s="84">
        <v>30</v>
      </c>
      <c r="P212" s="94">
        <f t="shared" si="49"/>
        <v>494.09000000000003</v>
      </c>
      <c r="Q212" s="254">
        <f t="shared" si="50"/>
        <v>1.0000000000000002</v>
      </c>
      <c r="R212" s="254">
        <f t="shared" si="51"/>
        <v>0.43674537620932752</v>
      </c>
    </row>
    <row r="213" spans="1:19" ht="15" customHeight="1" x14ac:dyDescent="0.2">
      <c r="E213" s="30">
        <v>40</v>
      </c>
      <c r="F213" s="249">
        <v>0.40124437910746336</v>
      </c>
      <c r="G213" s="122">
        <v>0.40140655629397104</v>
      </c>
      <c r="H213" s="35"/>
      <c r="I213" s="5">
        <f t="shared" si="52"/>
        <v>15.10975</v>
      </c>
      <c r="J213" s="1"/>
      <c r="K213" s="22"/>
      <c r="L213" s="98">
        <v>40</v>
      </c>
      <c r="M213" s="94">
        <f t="shared" si="53"/>
        <v>604.39</v>
      </c>
      <c r="N213" s="13"/>
      <c r="O213" s="84">
        <v>40</v>
      </c>
      <c r="P213" s="126">
        <f t="shared" si="49"/>
        <v>604.3900000000001</v>
      </c>
      <c r="Q213" s="254">
        <f t="shared" si="50"/>
        <v>1.0000000000000002</v>
      </c>
      <c r="R213" s="254">
        <f t="shared" si="51"/>
        <v>0.40140655629397115</v>
      </c>
    </row>
    <row r="214" spans="1:19" ht="15" customHeight="1" x14ac:dyDescent="0.2">
      <c r="E214" s="30">
        <v>50</v>
      </c>
      <c r="F214" s="250">
        <v>0.37925789464001503</v>
      </c>
      <c r="G214" s="123">
        <v>0.37923209803490981</v>
      </c>
      <c r="H214" s="36"/>
      <c r="I214" s="23">
        <f t="shared" si="52"/>
        <v>14.281799999999995</v>
      </c>
      <c r="J214" s="24"/>
      <c r="K214" s="17"/>
      <c r="L214" s="99">
        <v>50</v>
      </c>
      <c r="M214" s="100">
        <f>L214*I214</f>
        <v>714.0899999999998</v>
      </c>
      <c r="N214" s="16"/>
      <c r="O214" s="107">
        <v>50</v>
      </c>
      <c r="P214" s="127">
        <f t="shared" si="49"/>
        <v>714.0899999999998</v>
      </c>
      <c r="Q214" s="254">
        <f t="shared" si="50"/>
        <v>1</v>
      </c>
      <c r="R214" s="254">
        <f t="shared" si="51"/>
        <v>0.37923209803490981</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54">D206</f>
        <v>4.55</v>
      </c>
      <c r="C227" s="1" t="s">
        <v>0</v>
      </c>
      <c r="D227" s="22"/>
      <c r="E227" s="71">
        <v>1</v>
      </c>
      <c r="F227" s="55">
        <f>F185</f>
        <v>37.46285714285716</v>
      </c>
      <c r="G227" s="46">
        <f>F227/E227</f>
        <v>37.46285714285716</v>
      </c>
      <c r="H227" s="178">
        <f t="shared" ref="H227:H236" si="55">SQRT(12*32.2*G227^2/(4*$B$228*($B$227*56)*$B$226^2))</f>
        <v>0.99481493201675608</v>
      </c>
      <c r="I227" s="718"/>
      <c r="J227" s="178">
        <v>0.99481493201675608</v>
      </c>
      <c r="K227" s="544">
        <v>1</v>
      </c>
      <c r="L227" s="549">
        <f>J227*$L$225</f>
        <v>0.99481493201675608</v>
      </c>
      <c r="M227" s="5">
        <f>(B227*2.20462*25.4*12)</f>
        <v>3057.4552007999996</v>
      </c>
      <c r="N227" s="74">
        <f t="shared" ref="N227:N236" si="56">L227*B$226*SQRT(4*B$228*M$227/32.2)/12</f>
        <v>37.461970065415905</v>
      </c>
      <c r="O227" s="597">
        <f>K227*N227</f>
        <v>37.461970065415905</v>
      </c>
      <c r="P227" s="591">
        <f t="shared" ref="P227:P236" si="57">M157</f>
        <v>1.0210341671751066</v>
      </c>
      <c r="Q227" s="60">
        <f>P227*O227</f>
        <v>38.249951406480704</v>
      </c>
      <c r="R227" s="166">
        <f>Q227-O227</f>
        <v>0.78798134106479978</v>
      </c>
      <c r="S227" s="169">
        <f>R227/O227</f>
        <v>2.1034167175106668E-2</v>
      </c>
    </row>
    <row r="228" spans="2:19" ht="15" customHeight="1" x14ac:dyDescent="0.2">
      <c r="B228" s="271">
        <f t="shared" si="54"/>
        <v>85</v>
      </c>
      <c r="C228" s="77" t="s">
        <v>1</v>
      </c>
      <c r="D228" s="17"/>
      <c r="E228" s="70">
        <v>2</v>
      </c>
      <c r="F228" s="54">
        <f t="shared" ref="F228:F236" si="58">F186</f>
        <v>71.448571428571384</v>
      </c>
      <c r="G228" s="45">
        <f t="shared" ref="G228:G236" si="59">F228/E228</f>
        <v>35.724285714285692</v>
      </c>
      <c r="H228" s="179">
        <f t="shared" si="55"/>
        <v>0.94864768932821042</v>
      </c>
      <c r="I228" s="718"/>
      <c r="J228" s="179">
        <v>0.94864768932821042</v>
      </c>
      <c r="K228" s="545">
        <v>2</v>
      </c>
      <c r="L228" s="550">
        <f t="shared" ref="L228:L236" si="60">J228*$L$225</f>
        <v>0.94864768932821042</v>
      </c>
      <c r="N228" s="73">
        <f t="shared" si="56"/>
        <v>35.723439804219581</v>
      </c>
      <c r="O228" s="598">
        <f t="shared" ref="O228:O235" si="61">K228*N228</f>
        <v>71.446879608439161</v>
      </c>
      <c r="P228" s="591">
        <f t="shared" si="57"/>
        <v>1.0299516135482065</v>
      </c>
      <c r="Q228" s="59">
        <f t="shared" ref="Q228:Q236" si="62">P228*O228</f>
        <v>73.586828935696374</v>
      </c>
      <c r="R228" s="167">
        <f t="shared" ref="R228:R236" si="63">Q228-O228</f>
        <v>2.139949327257213</v>
      </c>
      <c r="S228" s="170">
        <f t="shared" ref="S228:S236" si="64">R228/O228</f>
        <v>2.9951613548206611E-2</v>
      </c>
    </row>
    <row r="229" spans="2:19" ht="15" customHeight="1" x14ac:dyDescent="0.2">
      <c r="E229" s="69">
        <v>3</v>
      </c>
      <c r="F229" s="50">
        <f t="shared" si="58"/>
        <v>94.877142857142829</v>
      </c>
      <c r="G229" s="44">
        <f t="shared" si="59"/>
        <v>31.625714285714277</v>
      </c>
      <c r="H229" s="180">
        <f t="shared" si="55"/>
        <v>0.83981135467460832</v>
      </c>
      <c r="I229" s="718"/>
      <c r="J229" s="180">
        <v>0.83981135467460832</v>
      </c>
      <c r="K229" s="546">
        <v>3</v>
      </c>
      <c r="L229" s="551">
        <f t="shared" si="60"/>
        <v>0.83981135467460832</v>
      </c>
      <c r="N229" s="72">
        <f t="shared" si="56"/>
        <v>31.624965425113505</v>
      </c>
      <c r="O229" s="599">
        <f>K229*N229</f>
        <v>94.874896275340518</v>
      </c>
      <c r="P229" s="591">
        <f t="shared" si="57"/>
        <v>1.038997801668323</v>
      </c>
      <c r="Q229" s="58">
        <f t="shared" si="62"/>
        <v>98.574808663588968</v>
      </c>
      <c r="R229" s="168">
        <f>Q229-O229</f>
        <v>3.6999123882484497</v>
      </c>
      <c r="S229" s="171">
        <f t="shared" si="64"/>
        <v>3.8997801668323041E-2</v>
      </c>
    </row>
    <row r="230" spans="2:19" ht="15" customHeight="1" x14ac:dyDescent="0.2">
      <c r="E230" s="69">
        <v>4</v>
      </c>
      <c r="F230" s="50">
        <f t="shared" si="58"/>
        <v>111.64857142857146</v>
      </c>
      <c r="G230" s="44">
        <f t="shared" si="59"/>
        <v>27.912142857142864</v>
      </c>
      <c r="H230" s="180">
        <f t="shared" si="55"/>
        <v>0.74119857951530599</v>
      </c>
      <c r="I230" s="718"/>
      <c r="J230" s="180">
        <v>0.74119857951530599</v>
      </c>
      <c r="K230" s="546">
        <v>4</v>
      </c>
      <c r="L230" s="551">
        <f t="shared" si="60"/>
        <v>0.74119857951530599</v>
      </c>
      <c r="N230" s="72">
        <f t="shared" si="56"/>
        <v>27.911481929649497</v>
      </c>
      <c r="O230" s="599">
        <f t="shared" si="61"/>
        <v>111.64592771859799</v>
      </c>
      <c r="P230" s="591">
        <f t="shared" si="57"/>
        <v>1.0485451800291732</v>
      </c>
      <c r="Q230" s="58">
        <f t="shared" si="62"/>
        <v>117.06579937922139</v>
      </c>
      <c r="R230" s="168">
        <f>Q230-O230</f>
        <v>5.4198716606234001</v>
      </c>
      <c r="S230" s="171">
        <f t="shared" si="64"/>
        <v>4.854518002917322E-2</v>
      </c>
    </row>
    <row r="231" spans="2:19" ht="15" customHeight="1" x14ac:dyDescent="0.2">
      <c r="E231" s="70">
        <v>5</v>
      </c>
      <c r="F231" s="54">
        <f t="shared" si="58"/>
        <v>125.66285714285716</v>
      </c>
      <c r="G231" s="45">
        <f t="shared" si="59"/>
        <v>25.132571428571431</v>
      </c>
      <c r="H231" s="179">
        <f t="shared" si="55"/>
        <v>0.66738789414217436</v>
      </c>
      <c r="I231" s="718"/>
      <c r="J231" s="179">
        <v>0.66738789414217436</v>
      </c>
      <c r="K231" s="545">
        <v>5</v>
      </c>
      <c r="L231" s="550">
        <f t="shared" si="60"/>
        <v>0.66738789414217436</v>
      </c>
      <c r="N231" s="73">
        <f t="shared" si="56"/>
        <v>25.131976318137916</v>
      </c>
      <c r="O231" s="598">
        <f t="shared" si="61"/>
        <v>125.65988159068958</v>
      </c>
      <c r="P231" s="591">
        <f t="shared" si="57"/>
        <v>1.0580123686962848</v>
      </c>
      <c r="Q231" s="59">
        <f t="shared" si="62"/>
        <v>132.94970897186016</v>
      </c>
      <c r="R231" s="167">
        <f t="shared" si="63"/>
        <v>7.289827381170582</v>
      </c>
      <c r="S231" s="170">
        <f t="shared" si="64"/>
        <v>5.8012368696284858E-2</v>
      </c>
    </row>
    <row r="232" spans="2:19" ht="15" customHeight="1" x14ac:dyDescent="0.2">
      <c r="E232" s="69">
        <v>10</v>
      </c>
      <c r="F232" s="50">
        <f t="shared" si="58"/>
        <v>189.29000000000002</v>
      </c>
      <c r="G232" s="44">
        <f t="shared" si="59"/>
        <v>18.929000000000002</v>
      </c>
      <c r="H232" s="180">
        <f t="shared" si="55"/>
        <v>0.5026539160197383</v>
      </c>
      <c r="I232" s="718"/>
      <c r="J232" s="180">
        <v>0.5026539160197383</v>
      </c>
      <c r="K232" s="547">
        <v>10</v>
      </c>
      <c r="L232" s="551">
        <f t="shared" si="60"/>
        <v>0.5026539160197383</v>
      </c>
      <c r="M232" s="41"/>
      <c r="N232" s="76">
        <f t="shared" si="56"/>
        <v>18.9285517830148</v>
      </c>
      <c r="O232" s="600">
        <f t="shared" si="61"/>
        <v>189.285517830148</v>
      </c>
      <c r="P232" s="591">
        <f t="shared" si="57"/>
        <v>1.1039674573405884</v>
      </c>
      <c r="Q232" s="58">
        <f t="shared" si="62"/>
        <v>208.96505183034509</v>
      </c>
      <c r="R232" s="168">
        <f t="shared" si="63"/>
        <v>19.679534000197094</v>
      </c>
      <c r="S232" s="171">
        <f t="shared" si="64"/>
        <v>0.10396745734058839</v>
      </c>
    </row>
    <row r="233" spans="2:19" ht="15" customHeight="1" x14ac:dyDescent="0.2">
      <c r="E233" s="69">
        <v>20</v>
      </c>
      <c r="F233" s="50">
        <f t="shared" si="58"/>
        <v>309.6400000000001</v>
      </c>
      <c r="G233" s="44">
        <f t="shared" si="59"/>
        <v>15.482000000000005</v>
      </c>
      <c r="H233" s="180">
        <f t="shared" si="55"/>
        <v>0.41111986517077448</v>
      </c>
      <c r="I233" s="718"/>
      <c r="J233" s="180">
        <v>0.41111986517077448</v>
      </c>
      <c r="K233" s="546">
        <v>20</v>
      </c>
      <c r="L233" s="551">
        <f t="shared" si="60"/>
        <v>0.41111986517077448</v>
      </c>
      <c r="N233" s="72">
        <f t="shared" si="56"/>
        <v>15.481633404016861</v>
      </c>
      <c r="O233" s="599">
        <f t="shared" si="61"/>
        <v>309.63266808033723</v>
      </c>
      <c r="P233" s="591">
        <f t="shared" si="57"/>
        <v>1.1500129182276191</v>
      </c>
      <c r="Q233" s="58">
        <f t="shared" si="62"/>
        <v>356.08156819767237</v>
      </c>
      <c r="R233" s="168">
        <f t="shared" si="63"/>
        <v>46.448900117335143</v>
      </c>
      <c r="S233" s="171">
        <f t="shared" si="64"/>
        <v>0.15001291822761906</v>
      </c>
    </row>
    <row r="234" spans="2:19" ht="15" customHeight="1" x14ac:dyDescent="0.2">
      <c r="E234" s="69">
        <v>30</v>
      </c>
      <c r="F234" s="50">
        <f t="shared" si="58"/>
        <v>413.04000000000008</v>
      </c>
      <c r="G234" s="44">
        <f t="shared" si="59"/>
        <v>13.768000000000002</v>
      </c>
      <c r="H234" s="180">
        <f t="shared" si="55"/>
        <v>0.36560510939615182</v>
      </c>
      <c r="I234" s="718"/>
      <c r="J234" s="180">
        <v>0.36560510939615182</v>
      </c>
      <c r="K234" s="546">
        <v>30</v>
      </c>
      <c r="L234" s="551">
        <f t="shared" si="60"/>
        <v>0.36560510939615182</v>
      </c>
      <c r="N234" s="72">
        <f t="shared" si="56"/>
        <v>13.767673989568799</v>
      </c>
      <c r="O234" s="599">
        <f t="shared" si="61"/>
        <v>413.03021968706395</v>
      </c>
      <c r="P234" s="591">
        <f t="shared" si="57"/>
        <v>1.1499854735618826</v>
      </c>
      <c r="Q234" s="58">
        <f t="shared" si="62"/>
        <v>474.97875278219664</v>
      </c>
      <c r="R234" s="168">
        <f t="shared" si="63"/>
        <v>61.948533095132689</v>
      </c>
      <c r="S234" s="171">
        <f t="shared" si="64"/>
        <v>0.1499854735618826</v>
      </c>
    </row>
    <row r="235" spans="2:19" ht="15" customHeight="1" x14ac:dyDescent="0.2">
      <c r="E235" s="69">
        <v>40</v>
      </c>
      <c r="F235" s="50">
        <f t="shared" si="58"/>
        <v>507.74000000000007</v>
      </c>
      <c r="G235" s="44">
        <f t="shared" si="59"/>
        <v>12.693500000000002</v>
      </c>
      <c r="H235" s="180">
        <f t="shared" si="55"/>
        <v>0.33707208426206081</v>
      </c>
      <c r="I235" s="718"/>
      <c r="J235" s="180">
        <v>0.33707208426206081</v>
      </c>
      <c r="K235" s="546">
        <v>40</v>
      </c>
      <c r="L235" s="551">
        <f t="shared" si="60"/>
        <v>0.33707208426206081</v>
      </c>
      <c r="N235" s="72">
        <f t="shared" si="56"/>
        <v>12.693199432495028</v>
      </c>
      <c r="O235" s="599">
        <f t="shared" si="61"/>
        <v>507.72797729980113</v>
      </c>
      <c r="P235" s="591">
        <f t="shared" si="57"/>
        <v>1.1499783353684958</v>
      </c>
      <c r="Q235" s="58">
        <f t="shared" si="62"/>
        <v>583.87617415523869</v>
      </c>
      <c r="R235" s="168">
        <f t="shared" si="63"/>
        <v>76.148196855437561</v>
      </c>
      <c r="S235" s="171">
        <f t="shared" si="64"/>
        <v>0.14997833536849572</v>
      </c>
    </row>
    <row r="236" spans="2:19" ht="15" customHeight="1" thickBot="1" x14ac:dyDescent="0.25">
      <c r="E236" s="70">
        <v>50</v>
      </c>
      <c r="F236" s="54">
        <f t="shared" si="58"/>
        <v>601.9899999999999</v>
      </c>
      <c r="G236" s="45">
        <f t="shared" si="59"/>
        <v>12.039799999999998</v>
      </c>
      <c r="H236" s="179">
        <f t="shared" si="55"/>
        <v>0.31971327688173934</v>
      </c>
      <c r="I236" s="718"/>
      <c r="J236" s="179">
        <v>0.31971327688173934</v>
      </c>
      <c r="K236" s="555">
        <v>50</v>
      </c>
      <c r="L236" s="556">
        <f t="shared" si="60"/>
        <v>0.31971327688173934</v>
      </c>
      <c r="N236" s="557">
        <f t="shared" si="56"/>
        <v>12.039514911360428</v>
      </c>
      <c r="O236" s="601">
        <f>K236*N236</f>
        <v>601.97574556802135</v>
      </c>
      <c r="P236" s="592">
        <f t="shared" si="57"/>
        <v>1.150002491735743</v>
      </c>
      <c r="Q236" s="59">
        <f t="shared" si="62"/>
        <v>692.27360736770618</v>
      </c>
      <c r="R236" s="167">
        <f t="shared" si="63"/>
        <v>90.297861799684824</v>
      </c>
      <c r="S236" s="170">
        <f t="shared" si="64"/>
        <v>0.15000249173574295</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65">E157</f>
        <v>0.78800000000000003</v>
      </c>
      <c r="S241" s="327">
        <f>R241/R227</f>
        <v>1.0000236794124782</v>
      </c>
    </row>
    <row r="242" spans="1:19" ht="15" customHeight="1" x14ac:dyDescent="0.2">
      <c r="E242" s="323"/>
      <c r="F242" s="324"/>
      <c r="G242" s="323"/>
      <c r="H242" s="325"/>
      <c r="I242" s="41"/>
      <c r="J242" s="325"/>
      <c r="K242" s="323"/>
      <c r="L242" s="325"/>
      <c r="M242" s="41"/>
      <c r="N242" s="324"/>
      <c r="O242" s="324"/>
      <c r="P242" s="326"/>
      <c r="Q242" s="324"/>
      <c r="R242" s="167">
        <f t="shared" si="65"/>
        <v>2.14</v>
      </c>
      <c r="S242" s="327">
        <f t="shared" ref="S242:S250" si="66">R242/R228</f>
        <v>1.0000236794124711</v>
      </c>
    </row>
    <row r="243" spans="1:19" ht="15" customHeight="1" x14ac:dyDescent="0.2">
      <c r="R243" s="168">
        <f t="shared" si="65"/>
        <v>3.7</v>
      </c>
      <c r="S243" s="327">
        <f t="shared" si="66"/>
        <v>1.0000236794124717</v>
      </c>
    </row>
    <row r="244" spans="1:19" ht="15" customHeight="1" x14ac:dyDescent="0.2">
      <c r="R244" s="168">
        <f t="shared" si="65"/>
        <v>5.42</v>
      </c>
      <c r="S244" s="327">
        <f t="shared" si="66"/>
        <v>1.0000236794124724</v>
      </c>
    </row>
    <row r="245" spans="1:19" ht="15" customHeight="1" x14ac:dyDescent="0.2">
      <c r="R245" s="167">
        <f t="shared" si="65"/>
        <v>7.29</v>
      </c>
      <c r="S245" s="327">
        <f t="shared" si="66"/>
        <v>1.0000236794124733</v>
      </c>
    </row>
    <row r="246" spans="1:19" ht="15" customHeight="1" x14ac:dyDescent="0.2">
      <c r="R246" s="168">
        <f t="shared" si="65"/>
        <v>19.68</v>
      </c>
      <c r="S246" s="327">
        <f t="shared" si="66"/>
        <v>1.0000236794124751</v>
      </c>
    </row>
    <row r="247" spans="1:19" ht="15" customHeight="1" x14ac:dyDescent="0.2">
      <c r="F247" s="41"/>
      <c r="G247" s="41"/>
      <c r="H247" s="41"/>
      <c r="I247" s="41"/>
      <c r="J247" s="41"/>
      <c r="K247" s="41"/>
      <c r="L247" s="41"/>
      <c r="M247" s="41"/>
      <c r="N247" s="41"/>
      <c r="O247" s="41"/>
      <c r="P247" s="41"/>
      <c r="R247" s="168">
        <f t="shared" si="65"/>
        <v>46.45</v>
      </c>
      <c r="S247" s="327">
        <f t="shared" si="66"/>
        <v>1.0000236794124744</v>
      </c>
    </row>
    <row r="248" spans="1:19" ht="15" customHeight="1" x14ac:dyDescent="0.2">
      <c r="B248" s="90"/>
      <c r="R248" s="168">
        <f t="shared" si="65"/>
        <v>61.95</v>
      </c>
      <c r="S248" s="327">
        <f t="shared" si="66"/>
        <v>1.0000236794124739</v>
      </c>
    </row>
    <row r="249" spans="1:19" ht="15" customHeight="1" x14ac:dyDescent="0.2">
      <c r="A249" s="90" t="s">
        <v>95</v>
      </c>
      <c r="B249" s="64" t="s">
        <v>178</v>
      </c>
      <c r="R249" s="168">
        <f t="shared" si="65"/>
        <v>76.150000000000006</v>
      </c>
      <c r="S249" s="327">
        <f t="shared" si="66"/>
        <v>1.0000236794124733</v>
      </c>
    </row>
    <row r="250" spans="1:19" ht="15" customHeight="1" x14ac:dyDescent="0.2">
      <c r="R250" s="167">
        <f t="shared" si="65"/>
        <v>90.3</v>
      </c>
      <c r="S250" s="327">
        <f t="shared" si="66"/>
        <v>1.0000236794124751</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0.78800000000000003</v>
      </c>
      <c r="G257" s="49">
        <f>F257/E257</f>
        <v>0.78800000000000003</v>
      </c>
      <c r="H257" s="178">
        <f>SQRT(12*32.2*G257^2/(4*$B$258*($B$257*56)*$B$256^2))</f>
        <v>2.0925103588332918E-2</v>
      </c>
      <c r="I257" s="718"/>
      <c r="J257" s="178">
        <v>2.0925103588332918E-2</v>
      </c>
      <c r="K257" s="544">
        <v>1</v>
      </c>
      <c r="L257" s="549">
        <f>J257*$L$255</f>
        <v>2.0925103588332918E-2</v>
      </c>
      <c r="M257" s="5">
        <f>(B257*2.20462*25.4*12)</f>
        <v>3057.4552007999996</v>
      </c>
      <c r="N257" s="74">
        <f>L257*B$256*SQRT(4*B$258*M$257/32.2)/12</f>
        <v>0.78798134106480333</v>
      </c>
      <c r="O257" s="218">
        <f>K257*N257</f>
        <v>0.78798134106480333</v>
      </c>
      <c r="Q257" s="218">
        <f t="shared" ref="Q257:Q266" si="67">E157</f>
        <v>0.78800000000000003</v>
      </c>
      <c r="R257" s="327">
        <f>Q257/O257</f>
        <v>1.0000236794124737</v>
      </c>
    </row>
    <row r="258" spans="2:18" ht="15" customHeight="1" x14ac:dyDescent="0.2">
      <c r="B258" s="271">
        <f>D207</f>
        <v>85</v>
      </c>
      <c r="C258" s="77" t="s">
        <v>1</v>
      </c>
      <c r="D258" s="17"/>
      <c r="E258" s="70">
        <v>2</v>
      </c>
      <c r="F258" s="167">
        <f t="shared" ref="F258:F266" si="68">G186</f>
        <v>2.14</v>
      </c>
      <c r="G258" s="48">
        <f t="shared" ref="G258:G266" si="69">F258/E258</f>
        <v>1.07</v>
      </c>
      <c r="H258" s="179">
        <f t="shared" ref="H258:H266" si="70">SQRT(12*32.2*G258^2/(4*$B$258*($B$257*56)*$B$256^2))</f>
        <v>2.8413528984157638E-2</v>
      </c>
      <c r="I258" s="718"/>
      <c r="J258" s="179">
        <v>2.8413528984157638E-2</v>
      </c>
      <c r="K258" s="545">
        <v>2</v>
      </c>
      <c r="L258" s="550">
        <f t="shared" ref="L258:L266" si="71">J258*$L$255</f>
        <v>2.8413528984157638E-2</v>
      </c>
      <c r="N258" s="73">
        <f t="shared" ref="N258:N266" si="72">L258*B$256*SQRT(4*B$258*M$257/32.2)/12</f>
        <v>1.0699746636286034</v>
      </c>
      <c r="O258" s="219">
        <f t="shared" ref="O258" si="73">K258*N258</f>
        <v>2.1399493272572068</v>
      </c>
      <c r="Q258" s="219">
        <f t="shared" si="67"/>
        <v>2.14</v>
      </c>
      <c r="R258" s="327">
        <f t="shared" ref="R258:R266" si="74">Q258/O258</f>
        <v>1.0000236794124739</v>
      </c>
    </row>
    <row r="259" spans="2:18" ht="15" customHeight="1" x14ac:dyDescent="0.2">
      <c r="E259" s="69">
        <v>3</v>
      </c>
      <c r="F259" s="168">
        <f t="shared" si="68"/>
        <v>3.7</v>
      </c>
      <c r="G259" s="47">
        <f t="shared" si="69"/>
        <v>1.2333333333333334</v>
      </c>
      <c r="H259" s="180">
        <f t="shared" si="70"/>
        <v>3.2750796648406001E-2</v>
      </c>
      <c r="I259" s="718"/>
      <c r="J259" s="180">
        <v>3.2750796648406001E-2</v>
      </c>
      <c r="K259" s="546">
        <v>3</v>
      </c>
      <c r="L259" s="551">
        <f t="shared" si="71"/>
        <v>3.2750796648406001E-2</v>
      </c>
      <c r="N259" s="72">
        <f t="shared" si="72"/>
        <v>1.2333041294161473</v>
      </c>
      <c r="O259" s="220">
        <f>K259*N259</f>
        <v>3.6999123882484417</v>
      </c>
      <c r="Q259" s="220">
        <f t="shared" si="67"/>
        <v>3.7</v>
      </c>
      <c r="R259" s="327">
        <f t="shared" si="74"/>
        <v>1.0000236794124739</v>
      </c>
    </row>
    <row r="260" spans="2:18" ht="15" customHeight="1" x14ac:dyDescent="0.2">
      <c r="E260" s="69">
        <v>4</v>
      </c>
      <c r="F260" s="168">
        <f t="shared" si="68"/>
        <v>5.42</v>
      </c>
      <c r="G260" s="47">
        <f t="shared" si="69"/>
        <v>1.355</v>
      </c>
      <c r="H260" s="180">
        <f t="shared" si="70"/>
        <v>3.5981618479937943E-2</v>
      </c>
      <c r="I260" s="718"/>
      <c r="J260" s="180">
        <v>3.5981618479937943E-2</v>
      </c>
      <c r="K260" s="546">
        <v>4</v>
      </c>
      <c r="L260" s="551">
        <f t="shared" si="71"/>
        <v>3.5981618479937943E-2</v>
      </c>
      <c r="N260" s="72">
        <f t="shared" si="72"/>
        <v>1.3549679151558482</v>
      </c>
      <c r="O260" s="220">
        <f t="shared" ref="O260:O266" si="75">K260*N260</f>
        <v>5.419871660623393</v>
      </c>
      <c r="Q260" s="220">
        <f t="shared" si="67"/>
        <v>5.42</v>
      </c>
      <c r="R260" s="327">
        <f t="shared" si="74"/>
        <v>1.0000236794124737</v>
      </c>
    </row>
    <row r="261" spans="2:18" ht="15" customHeight="1" x14ac:dyDescent="0.2">
      <c r="E261" s="70">
        <v>5</v>
      </c>
      <c r="F261" s="167">
        <f t="shared" si="68"/>
        <v>7.29</v>
      </c>
      <c r="G261" s="48">
        <f t="shared" si="69"/>
        <v>1.458</v>
      </c>
      <c r="H261" s="179">
        <f t="shared" si="70"/>
        <v>3.8716752578412929E-2</v>
      </c>
      <c r="I261" s="718"/>
      <c r="J261" s="179">
        <v>3.8716752578412929E-2</v>
      </c>
      <c r="K261" s="545">
        <v>5</v>
      </c>
      <c r="L261" s="550">
        <f t="shared" si="71"/>
        <v>3.8716752578412929E-2</v>
      </c>
      <c r="N261" s="73">
        <f t="shared" si="72"/>
        <v>1.4579654762341157</v>
      </c>
      <c r="O261" s="219">
        <f t="shared" si="75"/>
        <v>7.2898273811705785</v>
      </c>
      <c r="Q261" s="219">
        <f t="shared" si="67"/>
        <v>7.29</v>
      </c>
      <c r="R261" s="327">
        <f t="shared" si="74"/>
        <v>1.0000236794124737</v>
      </c>
    </row>
    <row r="262" spans="2:18" ht="15" customHeight="1" x14ac:dyDescent="0.2">
      <c r="E262" s="69">
        <v>10</v>
      </c>
      <c r="F262" s="168">
        <f t="shared" si="68"/>
        <v>19.68</v>
      </c>
      <c r="G262" s="47">
        <f t="shared" si="69"/>
        <v>1.968</v>
      </c>
      <c r="H262" s="180">
        <f t="shared" si="70"/>
        <v>5.2259649570861898E-2</v>
      </c>
      <c r="I262" s="718"/>
      <c r="J262" s="180">
        <v>5.2259649570861898E-2</v>
      </c>
      <c r="K262" s="547">
        <v>10</v>
      </c>
      <c r="L262" s="551">
        <f t="shared" si="71"/>
        <v>5.2259649570861898E-2</v>
      </c>
      <c r="M262" s="41"/>
      <c r="N262" s="76">
        <f t="shared" si="72"/>
        <v>1.9679534000197119</v>
      </c>
      <c r="O262" s="221">
        <f t="shared" si="75"/>
        <v>19.679534000197119</v>
      </c>
      <c r="Q262" s="221">
        <f t="shared" si="67"/>
        <v>19.68</v>
      </c>
      <c r="R262" s="327">
        <f t="shared" si="74"/>
        <v>1.0000236794124737</v>
      </c>
    </row>
    <row r="263" spans="2:18" ht="15" customHeight="1" x14ac:dyDescent="0.2">
      <c r="E263" s="69">
        <v>20</v>
      </c>
      <c r="F263" s="168">
        <f t="shared" si="68"/>
        <v>46.45</v>
      </c>
      <c r="G263" s="47">
        <f t="shared" si="69"/>
        <v>2.3225000000000002</v>
      </c>
      <c r="H263" s="180">
        <f t="shared" si="70"/>
        <v>6.1673290715613199E-2</v>
      </c>
      <c r="I263" s="718"/>
      <c r="J263" s="180">
        <v>6.1673290715613199E-2</v>
      </c>
      <c r="K263" s="546">
        <v>20</v>
      </c>
      <c r="L263" s="551">
        <f t="shared" si="71"/>
        <v>6.1673290715613199E-2</v>
      </c>
      <c r="N263" s="72">
        <f t="shared" si="72"/>
        <v>2.3224450058667587</v>
      </c>
      <c r="O263" s="220">
        <f t="shared" si="75"/>
        <v>46.448900117335171</v>
      </c>
      <c r="Q263" s="220">
        <f t="shared" si="67"/>
        <v>46.45</v>
      </c>
      <c r="R263" s="327">
        <f t="shared" si="74"/>
        <v>1.0000236794124737</v>
      </c>
    </row>
    <row r="264" spans="2:18" ht="15" customHeight="1" x14ac:dyDescent="0.2">
      <c r="E264" s="69">
        <v>30</v>
      </c>
      <c r="F264" s="168">
        <f t="shared" si="68"/>
        <v>61.95</v>
      </c>
      <c r="G264" s="47">
        <f t="shared" si="69"/>
        <v>2.0649999999999999</v>
      </c>
      <c r="H264" s="180">
        <f t="shared" si="70"/>
        <v>5.4835455469425726E-2</v>
      </c>
      <c r="I264" s="718"/>
      <c r="J264" s="180">
        <v>5.4835455469425726E-2</v>
      </c>
      <c r="K264" s="546">
        <v>30</v>
      </c>
      <c r="L264" s="551">
        <f t="shared" si="71"/>
        <v>5.4835455469425726E-2</v>
      </c>
      <c r="N264" s="72">
        <f t="shared" si="72"/>
        <v>2.0649511031710897</v>
      </c>
      <c r="O264" s="220">
        <f t="shared" si="75"/>
        <v>61.948533095132689</v>
      </c>
      <c r="Q264" s="220">
        <f t="shared" si="67"/>
        <v>61.95</v>
      </c>
      <c r="R264" s="327">
        <f t="shared" si="74"/>
        <v>1.0000236794124739</v>
      </c>
    </row>
    <row r="265" spans="2:18" ht="15" customHeight="1" x14ac:dyDescent="0.2">
      <c r="E265" s="69">
        <v>40</v>
      </c>
      <c r="F265" s="168">
        <f t="shared" si="68"/>
        <v>76.150000000000006</v>
      </c>
      <c r="G265" s="47">
        <f t="shared" si="69"/>
        <v>1.9037500000000001</v>
      </c>
      <c r="H265" s="180">
        <f t="shared" si="70"/>
        <v>5.0553510096813185E-2</v>
      </c>
      <c r="I265" s="718"/>
      <c r="J265" s="180">
        <v>5.0553510096813185E-2</v>
      </c>
      <c r="K265" s="546">
        <v>40</v>
      </c>
      <c r="L265" s="551">
        <f t="shared" si="71"/>
        <v>5.0553510096813185E-2</v>
      </c>
      <c r="N265" s="72">
        <f t="shared" si="72"/>
        <v>1.9037049213859383</v>
      </c>
      <c r="O265" s="220">
        <f t="shared" si="75"/>
        <v>76.148196855437533</v>
      </c>
      <c r="Q265" s="220">
        <f t="shared" si="67"/>
        <v>76.150000000000006</v>
      </c>
      <c r="R265" s="327">
        <f t="shared" si="74"/>
        <v>1.0000236794124737</v>
      </c>
    </row>
    <row r="266" spans="2:18" ht="15" customHeight="1" thickBot="1" x14ac:dyDescent="0.25">
      <c r="E266" s="70">
        <v>50</v>
      </c>
      <c r="F266" s="167">
        <f t="shared" si="68"/>
        <v>90.3</v>
      </c>
      <c r="G266" s="48">
        <f t="shared" si="69"/>
        <v>1.806</v>
      </c>
      <c r="H266" s="179">
        <f t="shared" si="70"/>
        <v>4.7957788173260463E-2</v>
      </c>
      <c r="I266" s="718"/>
      <c r="J266" s="179">
        <v>4.7957788173260463E-2</v>
      </c>
      <c r="K266" s="555">
        <v>50</v>
      </c>
      <c r="L266" s="556">
        <f t="shared" si="71"/>
        <v>4.7957788173260463E-2</v>
      </c>
      <c r="N266" s="557">
        <f t="shared" si="72"/>
        <v>1.8059572359936988</v>
      </c>
      <c r="O266" s="219">
        <f t="shared" si="75"/>
        <v>90.297861799684938</v>
      </c>
      <c r="Q266" s="219">
        <f t="shared" si="67"/>
        <v>90.3</v>
      </c>
      <c r="R266" s="327">
        <f t="shared" si="74"/>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22" t="s">
        <v>715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6">C185</f>
        <v>48.250857142857157</v>
      </c>
      <c r="D288" s="162">
        <f t="shared" si="76"/>
        <v>119.25085714285716</v>
      </c>
      <c r="E288" s="162">
        <f t="shared" si="76"/>
        <v>38.250857142857157</v>
      </c>
      <c r="F288" s="162">
        <f>G288+J288</f>
        <v>43.46285714285716</v>
      </c>
      <c r="G288" s="162">
        <f t="shared" ref="G288:H297" si="77">F185</f>
        <v>37.46285714285716</v>
      </c>
      <c r="H288" s="887">
        <f t="shared" si="77"/>
        <v>0.78800000000000003</v>
      </c>
      <c r="I288" s="162">
        <f>M185</f>
        <v>75</v>
      </c>
      <c r="J288" s="162">
        <f t="shared" ref="J288:J297" si="78">L185</f>
        <v>6</v>
      </c>
      <c r="K288" s="886">
        <f>H288/G288</f>
        <v>2.1034167175106762E-2</v>
      </c>
      <c r="L288" s="889">
        <f t="shared" ref="L288:L297" si="79">F205</f>
        <v>1.2813173755812395</v>
      </c>
      <c r="M288" s="889">
        <f t="shared" ref="M288:M297" si="80">H227</f>
        <v>0.99481493201675608</v>
      </c>
      <c r="N288" s="889">
        <f t="shared" ref="N288:N297" si="81">H257</f>
        <v>2.0925103588332918E-2</v>
      </c>
      <c r="O288" s="40"/>
      <c r="P288" s="920">
        <f>L288</f>
        <v>1.2813173755812395</v>
      </c>
    </row>
    <row r="289" spans="1:22" ht="15" customHeight="1" x14ac:dyDescent="0.2">
      <c r="A289" s="35"/>
      <c r="B289" s="449">
        <v>2</v>
      </c>
      <c r="C289" s="127">
        <f t="shared" si="76"/>
        <v>86.588571428571385</v>
      </c>
      <c r="D289" s="127">
        <f t="shared" si="76"/>
        <v>157.58857142857138</v>
      </c>
      <c r="E289" s="127">
        <f t="shared" si="76"/>
        <v>73.588571428571385</v>
      </c>
      <c r="F289" s="127">
        <f t="shared" ref="F289:F297" si="82">G289+J289</f>
        <v>80.448571428571384</v>
      </c>
      <c r="G289" s="127">
        <f t="shared" si="77"/>
        <v>71.448571428571384</v>
      </c>
      <c r="H289" s="460">
        <f t="shared" si="77"/>
        <v>2.14</v>
      </c>
      <c r="I289" s="127">
        <f t="shared" ref="I289:I297" si="83">M186</f>
        <v>75</v>
      </c>
      <c r="J289" s="127">
        <f t="shared" si="78"/>
        <v>9</v>
      </c>
      <c r="K289" s="885">
        <f t="shared" ref="K289:K297" si="84">H289/G289</f>
        <v>2.9951613548206524E-2</v>
      </c>
      <c r="L289" s="585">
        <f t="shared" si="79"/>
        <v>1.1496939916497415</v>
      </c>
      <c r="M289" s="585">
        <f t="shared" si="80"/>
        <v>0.94864768932821042</v>
      </c>
      <c r="N289" s="585">
        <f t="shared" si="81"/>
        <v>2.8413528984157638E-2</v>
      </c>
      <c r="O289" s="1"/>
      <c r="P289" s="469">
        <f t="shared" ref="P289:P297" si="85">L289</f>
        <v>1.1496939916497415</v>
      </c>
    </row>
    <row r="290" spans="1:22" ht="15" customHeight="1" x14ac:dyDescent="0.2">
      <c r="A290" s="35"/>
      <c r="B290" s="449">
        <v>3</v>
      </c>
      <c r="C290" s="463">
        <f t="shared" si="76"/>
        <v>113.37714285714284</v>
      </c>
      <c r="D290" s="463">
        <f t="shared" si="76"/>
        <v>184.37714285714284</v>
      </c>
      <c r="E290" s="463">
        <f t="shared" si="76"/>
        <v>98.577142857142832</v>
      </c>
      <c r="F290" s="463">
        <f t="shared" si="82"/>
        <v>105.67714285714283</v>
      </c>
      <c r="G290" s="463">
        <f t="shared" si="77"/>
        <v>94.877142857142829</v>
      </c>
      <c r="H290" s="464">
        <f t="shared" si="77"/>
        <v>3.7</v>
      </c>
      <c r="I290" s="463">
        <f t="shared" si="83"/>
        <v>75</v>
      </c>
      <c r="J290" s="463">
        <f t="shared" si="78"/>
        <v>10.8</v>
      </c>
      <c r="K290" s="886">
        <f t="shared" si="84"/>
        <v>3.8997801668322958E-2</v>
      </c>
      <c r="L290" s="586">
        <f t="shared" si="79"/>
        <v>1.0035891017542196</v>
      </c>
      <c r="M290" s="586">
        <f t="shared" si="80"/>
        <v>0.83981135467460832</v>
      </c>
      <c r="N290" s="586">
        <f t="shared" si="81"/>
        <v>3.2750796648406001E-2</v>
      </c>
      <c r="O290" s="1"/>
      <c r="P290" s="470">
        <f t="shared" si="85"/>
        <v>1.0035891017542196</v>
      </c>
    </row>
    <row r="291" spans="1:22" ht="15" customHeight="1" x14ac:dyDescent="0.2">
      <c r="A291" s="35"/>
      <c r="B291" s="449">
        <v>4</v>
      </c>
      <c r="C291" s="463">
        <f t="shared" si="76"/>
        <v>133.06857142857146</v>
      </c>
      <c r="D291" s="463">
        <f t="shared" si="76"/>
        <v>204.06857142857146</v>
      </c>
      <c r="E291" s="463">
        <f t="shared" si="76"/>
        <v>117.06857142857146</v>
      </c>
      <c r="F291" s="463">
        <f t="shared" si="82"/>
        <v>123.64857142857146</v>
      </c>
      <c r="G291" s="463">
        <f t="shared" si="77"/>
        <v>111.64857142857146</v>
      </c>
      <c r="H291" s="464">
        <f t="shared" si="77"/>
        <v>5.42</v>
      </c>
      <c r="I291" s="463">
        <f t="shared" si="83"/>
        <v>75</v>
      </c>
      <c r="J291" s="463">
        <f t="shared" si="78"/>
        <v>12</v>
      </c>
      <c r="K291" s="886">
        <f t="shared" si="84"/>
        <v>4.8545180029173157E-2</v>
      </c>
      <c r="L291" s="586">
        <f t="shared" si="79"/>
        <v>0.88341991630527128</v>
      </c>
      <c r="M291" s="586">
        <f t="shared" si="80"/>
        <v>0.74119857951530599</v>
      </c>
      <c r="N291" s="586">
        <f t="shared" si="81"/>
        <v>3.5981618479937943E-2</v>
      </c>
      <c r="O291" s="1"/>
      <c r="P291" s="470">
        <f t="shared" si="85"/>
        <v>0.88341991630527128</v>
      </c>
    </row>
    <row r="292" spans="1:22" ht="15" customHeight="1" x14ac:dyDescent="0.2">
      <c r="A292" s="35"/>
      <c r="B292" s="449">
        <v>5</v>
      </c>
      <c r="C292" s="127">
        <f t="shared" si="76"/>
        <v>149.45285714285717</v>
      </c>
      <c r="D292" s="127">
        <f t="shared" si="76"/>
        <v>220.45285714285717</v>
      </c>
      <c r="E292" s="127">
        <f t="shared" si="76"/>
        <v>132.95285714285717</v>
      </c>
      <c r="F292" s="127">
        <f t="shared" si="82"/>
        <v>138.16285714285715</v>
      </c>
      <c r="G292" s="127">
        <f t="shared" si="77"/>
        <v>125.66285714285716</v>
      </c>
      <c r="H292" s="460">
        <f t="shared" si="77"/>
        <v>7.29</v>
      </c>
      <c r="I292" s="127">
        <f t="shared" si="83"/>
        <v>75</v>
      </c>
      <c r="J292" s="127">
        <f t="shared" si="78"/>
        <v>12.5</v>
      </c>
      <c r="K292" s="885">
        <f t="shared" si="84"/>
        <v>5.8012368696284837E-2</v>
      </c>
      <c r="L292" s="585">
        <f t="shared" si="79"/>
        <v>0.79375395185389752</v>
      </c>
      <c r="M292" s="585">
        <f t="shared" si="80"/>
        <v>0.66738789414217436</v>
      </c>
      <c r="N292" s="585">
        <f t="shared" si="81"/>
        <v>3.8716752578412929E-2</v>
      </c>
      <c r="O292" s="1"/>
      <c r="P292" s="921">
        <f>L292</f>
        <v>0.79375395185389752</v>
      </c>
    </row>
    <row r="293" spans="1:22" ht="15" customHeight="1" x14ac:dyDescent="0.2">
      <c r="A293" s="35"/>
      <c r="B293" s="449">
        <v>10</v>
      </c>
      <c r="C293" s="463">
        <f t="shared" si="76"/>
        <v>226.57000000000005</v>
      </c>
      <c r="D293" s="463">
        <f t="shared" si="76"/>
        <v>297.57000000000005</v>
      </c>
      <c r="E293" s="463">
        <f t="shared" si="76"/>
        <v>208.97000000000003</v>
      </c>
      <c r="F293" s="463">
        <f t="shared" si="82"/>
        <v>202.89000000000001</v>
      </c>
      <c r="G293" s="463">
        <f t="shared" si="77"/>
        <v>189.29000000000002</v>
      </c>
      <c r="H293" s="464">
        <f t="shared" si="77"/>
        <v>19.68</v>
      </c>
      <c r="I293" s="463">
        <f t="shared" si="83"/>
        <v>75</v>
      </c>
      <c r="J293" s="463">
        <f t="shared" si="78"/>
        <v>13.6</v>
      </c>
      <c r="K293" s="886">
        <f t="shared" si="84"/>
        <v>0.1039674573405885</v>
      </c>
      <c r="L293" s="586">
        <f t="shared" si="79"/>
        <v>0.60166408427921025</v>
      </c>
      <c r="M293" s="586">
        <f t="shared" si="80"/>
        <v>0.5026539160197383</v>
      </c>
      <c r="N293" s="586">
        <f t="shared" si="81"/>
        <v>5.2259649570861898E-2</v>
      </c>
      <c r="O293" s="1"/>
      <c r="P293" s="470">
        <f t="shared" si="85"/>
        <v>0.60166408427921025</v>
      </c>
    </row>
    <row r="294" spans="1:22" ht="15" customHeight="1" x14ac:dyDescent="0.2">
      <c r="A294" s="35"/>
      <c r="B294" s="449">
        <v>20</v>
      </c>
      <c r="C294" s="463">
        <f t="shared" si="76"/>
        <v>374.69000000000011</v>
      </c>
      <c r="D294" s="463">
        <f t="shared" si="76"/>
        <v>445.69000000000011</v>
      </c>
      <c r="E294" s="463">
        <f t="shared" si="76"/>
        <v>356.09000000000009</v>
      </c>
      <c r="F294" s="463">
        <f t="shared" si="82"/>
        <v>324.24000000000012</v>
      </c>
      <c r="G294" s="463">
        <f t="shared" si="77"/>
        <v>309.6400000000001</v>
      </c>
      <c r="H294" s="464">
        <f t="shared" si="77"/>
        <v>46.45</v>
      </c>
      <c r="I294" s="463">
        <f t="shared" si="83"/>
        <v>75</v>
      </c>
      <c r="J294" s="463">
        <f t="shared" si="78"/>
        <v>14.6</v>
      </c>
      <c r="K294" s="886">
        <f t="shared" si="84"/>
        <v>0.15001291822761914</v>
      </c>
      <c r="L294" s="586">
        <f t="shared" si="79"/>
        <v>0.49750080712048661</v>
      </c>
      <c r="M294" s="586">
        <f t="shared" si="80"/>
        <v>0.41111986517077448</v>
      </c>
      <c r="N294" s="586">
        <f t="shared" si="81"/>
        <v>6.1673290715613199E-2</v>
      </c>
      <c r="O294" s="1"/>
      <c r="P294" s="470">
        <f t="shared" si="85"/>
        <v>0.49750080712048661</v>
      </c>
    </row>
    <row r="295" spans="1:22" ht="15" customHeight="1" x14ac:dyDescent="0.2">
      <c r="A295" s="35"/>
      <c r="B295" s="449">
        <v>30</v>
      </c>
      <c r="C295" s="463">
        <f t="shared" si="76"/>
        <v>494.09000000000003</v>
      </c>
      <c r="D295" s="463">
        <f t="shared" si="76"/>
        <v>565.09</v>
      </c>
      <c r="E295" s="463">
        <f t="shared" si="76"/>
        <v>474.99000000000007</v>
      </c>
      <c r="F295" s="463">
        <f t="shared" si="82"/>
        <v>428.1400000000001</v>
      </c>
      <c r="G295" s="463">
        <f t="shared" si="77"/>
        <v>413.04000000000008</v>
      </c>
      <c r="H295" s="464">
        <f t="shared" si="77"/>
        <v>61.95</v>
      </c>
      <c r="I295" s="463">
        <f t="shared" si="83"/>
        <v>75</v>
      </c>
      <c r="J295" s="463">
        <f t="shared" si="78"/>
        <v>15.1</v>
      </c>
      <c r="K295" s="886">
        <f t="shared" si="84"/>
        <v>0.1499854735618826</v>
      </c>
      <c r="L295" s="586">
        <f t="shared" si="79"/>
        <v>0.43735741331084571</v>
      </c>
      <c r="M295" s="586">
        <f t="shared" si="80"/>
        <v>0.36560510939615182</v>
      </c>
      <c r="N295" s="586">
        <f t="shared" si="81"/>
        <v>5.4835455469425726E-2</v>
      </c>
      <c r="O295" s="1"/>
      <c r="P295" s="470">
        <f t="shared" si="85"/>
        <v>0.43735741331084571</v>
      </c>
      <c r="R295" s="491" t="s">
        <v>531</v>
      </c>
    </row>
    <row r="296" spans="1:22" ht="15" customHeight="1" x14ac:dyDescent="0.2">
      <c r="A296" s="35"/>
      <c r="B296" s="449">
        <v>40</v>
      </c>
      <c r="C296" s="463">
        <f t="shared" si="76"/>
        <v>604.3900000000001</v>
      </c>
      <c r="D296" s="463">
        <f t="shared" si="76"/>
        <v>675.3900000000001</v>
      </c>
      <c r="E296" s="463">
        <f t="shared" si="76"/>
        <v>583.8900000000001</v>
      </c>
      <c r="F296" s="463">
        <f t="shared" si="82"/>
        <v>523.24</v>
      </c>
      <c r="G296" s="463">
        <f t="shared" si="77"/>
        <v>507.74000000000007</v>
      </c>
      <c r="H296" s="464">
        <f t="shared" si="77"/>
        <v>76.150000000000006</v>
      </c>
      <c r="I296" s="463">
        <f t="shared" si="83"/>
        <v>76</v>
      </c>
      <c r="J296" s="463">
        <f t="shared" si="78"/>
        <v>15.5</v>
      </c>
      <c r="K296" s="886">
        <f t="shared" si="84"/>
        <v>0.14997833536849567</v>
      </c>
      <c r="L296" s="586">
        <f t="shared" si="79"/>
        <v>0.40124437910746336</v>
      </c>
      <c r="M296" s="586">
        <f t="shared" si="80"/>
        <v>0.33707208426206081</v>
      </c>
      <c r="N296" s="586">
        <f t="shared" si="81"/>
        <v>5.0553510096813185E-2</v>
      </c>
      <c r="O296" s="1"/>
      <c r="P296" s="470">
        <f t="shared" si="85"/>
        <v>0.40124437910746336</v>
      </c>
      <c r="R296" s="491" t="s">
        <v>532</v>
      </c>
    </row>
    <row r="297" spans="1:22" ht="15" customHeight="1" x14ac:dyDescent="0.2">
      <c r="A297" s="35"/>
      <c r="B297" s="449">
        <v>50</v>
      </c>
      <c r="C297" s="127">
        <f t="shared" si="76"/>
        <v>714.0899999999998</v>
      </c>
      <c r="D297" s="127">
        <f t="shared" si="76"/>
        <v>785.0899999999998</v>
      </c>
      <c r="E297" s="127">
        <f t="shared" si="76"/>
        <v>692.28999999999985</v>
      </c>
      <c r="F297" s="127">
        <f t="shared" si="82"/>
        <v>617.78999999999985</v>
      </c>
      <c r="G297" s="127">
        <f t="shared" si="77"/>
        <v>601.9899999999999</v>
      </c>
      <c r="H297" s="460">
        <f t="shared" si="77"/>
        <v>90.3</v>
      </c>
      <c r="I297" s="127">
        <f t="shared" si="83"/>
        <v>77</v>
      </c>
      <c r="J297" s="127">
        <f t="shared" si="78"/>
        <v>15.8</v>
      </c>
      <c r="K297" s="885">
        <f t="shared" si="84"/>
        <v>0.15000249173574315</v>
      </c>
      <c r="L297" s="585">
        <f t="shared" si="79"/>
        <v>0.37925789464001503</v>
      </c>
      <c r="M297" s="585">
        <f t="shared" si="80"/>
        <v>0.31971327688173934</v>
      </c>
      <c r="N297" s="585">
        <f t="shared" si="81"/>
        <v>4.7957788173260463E-2</v>
      </c>
      <c r="O297" s="1"/>
      <c r="P297" s="921">
        <f t="shared" si="85"/>
        <v>0.37925789464001503</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713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6FFAA-DAAA-4F71-8BFE-6C3B5A90CB1F}">
  <sheetPr transitionEvaluation="1" transitionEntry="1">
    <tabColor theme="5" tint="0.79998168889431442"/>
  </sheetPr>
  <dimension ref="A1:AD404"/>
  <sheetViews>
    <sheetView showGridLines="0" topLeftCell="A16" zoomScale="90" zoomScaleNormal="90" workbookViewId="0">
      <selection activeCell="J30" sqref="J30"/>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14" t="s">
        <v>695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109_74_38_g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t="s">
        <v>701</v>
      </c>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32</v>
      </c>
      <c r="C108" s="106">
        <v>1</v>
      </c>
      <c r="D108" s="715">
        <v>32</v>
      </c>
      <c r="E108" s="38"/>
      <c r="F108" s="175">
        <v>35.299999999999997</v>
      </c>
    </row>
    <row r="109" spans="1:12" ht="15" customHeight="1" x14ac:dyDescent="0.2">
      <c r="B109" s="716">
        <v>66.2</v>
      </c>
      <c r="C109" s="106">
        <v>2</v>
      </c>
      <c r="D109" s="716">
        <v>65.5</v>
      </c>
      <c r="E109" s="605">
        <f>D109/D108</f>
        <v>2.046875</v>
      </c>
      <c r="F109" s="176">
        <v>64.2</v>
      </c>
    </row>
    <row r="110" spans="1:12" ht="15" customHeight="1" x14ac:dyDescent="0.2">
      <c r="B110" s="65">
        <v>88.7</v>
      </c>
      <c r="C110" s="106">
        <v>3</v>
      </c>
      <c r="D110" s="65">
        <v>88.5</v>
      </c>
      <c r="E110" s="605">
        <f t="shared" ref="E110:E112" si="9">D110/D109</f>
        <v>1.3511450381679388</v>
      </c>
      <c r="F110" s="717">
        <v>88.1</v>
      </c>
    </row>
    <row r="111" spans="1:12" ht="15" customHeight="1" x14ac:dyDescent="0.2">
      <c r="B111" s="65">
        <v>105.4</v>
      </c>
      <c r="C111" s="106">
        <v>4</v>
      </c>
      <c r="D111" s="65">
        <v>105.5</v>
      </c>
      <c r="E111" s="605">
        <f t="shared" si="9"/>
        <v>1.192090395480226</v>
      </c>
      <c r="F111" s="717">
        <v>107.5</v>
      </c>
    </row>
    <row r="112" spans="1:12" ht="15" customHeight="1" x14ac:dyDescent="0.2">
      <c r="B112" s="716">
        <v>120.5</v>
      </c>
      <c r="C112" s="106">
        <v>5</v>
      </c>
      <c r="D112" s="716">
        <v>120.5</v>
      </c>
      <c r="E112" s="605">
        <f t="shared" si="9"/>
        <v>1.1421800947867298</v>
      </c>
      <c r="F112" s="176">
        <v>123.1</v>
      </c>
    </row>
    <row r="113" spans="1:8" ht="15" customHeight="1" x14ac:dyDescent="0.2">
      <c r="B113" s="65">
        <v>186.8</v>
      </c>
      <c r="C113" s="106">
        <v>10</v>
      </c>
      <c r="D113" s="65">
        <v>186.8</v>
      </c>
      <c r="E113" s="605">
        <f>(D113/D112)/5</f>
        <v>0.3100414937759336</v>
      </c>
      <c r="F113" s="177">
        <v>192.2</v>
      </c>
    </row>
    <row r="114" spans="1:8" ht="15" customHeight="1" x14ac:dyDescent="0.2">
      <c r="B114" s="65">
        <v>308.10000000000002</v>
      </c>
      <c r="C114" s="106">
        <v>20</v>
      </c>
      <c r="D114" s="65">
        <v>308.10000000000002</v>
      </c>
      <c r="E114" s="605">
        <f>(D114/D113)/10</f>
        <v>0.16493576017130623</v>
      </c>
      <c r="F114" s="177">
        <v>309.10000000000002</v>
      </c>
    </row>
    <row r="115" spans="1:8" ht="15" customHeight="1" x14ac:dyDescent="0.2">
      <c r="B115" s="65">
        <v>412.2</v>
      </c>
      <c r="C115" s="106">
        <v>30</v>
      </c>
      <c r="D115" s="65">
        <v>412.2</v>
      </c>
      <c r="E115" s="605">
        <f t="shared" ref="E115:E117" si="10">(D115/D114)/10</f>
        <v>0.13378773125608567</v>
      </c>
      <c r="F115" s="177">
        <v>413</v>
      </c>
    </row>
    <row r="116" spans="1:8" ht="15" customHeight="1" x14ac:dyDescent="0.2">
      <c r="B116" s="65">
        <v>508.1</v>
      </c>
      <c r="C116" s="106">
        <v>40</v>
      </c>
      <c r="D116" s="65">
        <v>508.1</v>
      </c>
      <c r="E116" s="605">
        <f t="shared" si="10"/>
        <v>0.1232654051431344</v>
      </c>
      <c r="F116" s="177">
        <v>508.6</v>
      </c>
    </row>
    <row r="117" spans="1:8" ht="15" customHeight="1" x14ac:dyDescent="0.2">
      <c r="B117" s="716">
        <v>601.9</v>
      </c>
      <c r="C117" s="106">
        <v>50</v>
      </c>
      <c r="D117" s="716">
        <v>601.9</v>
      </c>
      <c r="E117" s="605">
        <f t="shared" si="10"/>
        <v>0.11846093288722692</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0.70833333333332449</v>
      </c>
      <c r="F126" s="408">
        <f>INDEX(LINEST(D$139:D$143,($C$139:$C$143)^{1,2,3}),1)</f>
        <v>1.2583333333333361E-3</v>
      </c>
      <c r="H126" t="s">
        <v>300</v>
      </c>
    </row>
    <row r="127" spans="1:8" ht="15" customHeight="1" x14ac:dyDescent="0.2">
      <c r="E127" s="409" cm="1">
        <f t="array" ref="E127">_xlfn.SINGLE(INDEX(LINEST(D$134:D$138,($C$134:$C$138)^{1,2,3}),2))</f>
        <v>-9.4464285714284806</v>
      </c>
      <c r="F127" s="408">
        <f>INDEX(LINEST(D$139:D$143,($C$139:$C$143)^{1,2,3}),2)</f>
        <v>-0.15839285714285756</v>
      </c>
      <c r="H127" t="s">
        <v>301</v>
      </c>
    </row>
    <row r="128" spans="1:8" ht="15" customHeight="1" x14ac:dyDescent="0.2">
      <c r="E128" s="409">
        <f>INDEX(LINEST(D$134:D$138,($C$134:$C$138)^{1,2,3}),3)</f>
        <v>56.845238095237839</v>
      </c>
      <c r="F128" s="408">
        <f>INDEX(LINEST(D$139:D$143,($C$139:$C$143)^{1,2,3}),3)</f>
        <v>15.980238095238109</v>
      </c>
    </row>
    <row r="129" spans="1:11" ht="15" customHeight="1" x14ac:dyDescent="0.2">
      <c r="E129" s="409">
        <f>INDEX(LINEST(D$134:D$138,($C$134:$C$138)^{1,2,3}),4)</f>
        <v>-16.099999999999824</v>
      </c>
      <c r="F129" s="408">
        <f>INDEX(LINEST(D$139:D$143,($C$139:$C$143)^{1,2,3}),4)</f>
        <v>41.619999999999905</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32</v>
      </c>
      <c r="E134" s="114">
        <f>(E$126*($C134)^3)+(E$127*($C134)^2)+(E$128*($C134)^1)+(E$129)</f>
        <v>32.00714285714286</v>
      </c>
      <c r="F134" s="2"/>
      <c r="H134" s="106">
        <v>1</v>
      </c>
      <c r="I134" s="393">
        <f>E134</f>
        <v>32.00714285714286</v>
      </c>
      <c r="J134" s="109">
        <f>B108</f>
        <v>32</v>
      </c>
      <c r="K134" s="410">
        <f>I134-J134</f>
        <v>7.142857142859782E-3</v>
      </c>
    </row>
    <row r="135" spans="1:11" ht="15" customHeight="1" x14ac:dyDescent="0.2">
      <c r="C135" s="106">
        <v>2</v>
      </c>
      <c r="D135" s="110">
        <f t="shared" ref="D135:D143" si="11">D109</f>
        <v>65.5</v>
      </c>
      <c r="E135" s="114">
        <f>(E$126*($C135)^3)+(E$127*($C135)^2)+(E$128*($C135)^1)+(E$129)</f>
        <v>65.471428571428532</v>
      </c>
      <c r="F135" s="2"/>
      <c r="H135" s="106">
        <v>2</v>
      </c>
      <c r="I135" s="393">
        <f t="shared" ref="I135:I138" si="12">E135</f>
        <v>65.471428571428532</v>
      </c>
      <c r="J135" s="110">
        <f t="shared" ref="J135:J143" si="13">B109</f>
        <v>66.2</v>
      </c>
      <c r="K135" s="411">
        <f t="shared" ref="K135:K143" si="14">I135-J135</f>
        <v>-0.72857142857147039</v>
      </c>
    </row>
    <row r="136" spans="1:11" ht="15" customHeight="1" x14ac:dyDescent="0.2">
      <c r="B136" s="28" t="s">
        <v>308</v>
      </c>
      <c r="C136" s="106">
        <v>3</v>
      </c>
      <c r="D136" s="105">
        <f t="shared" si="11"/>
        <v>88.5</v>
      </c>
      <c r="E136" s="114">
        <f t="shared" ref="E136" si="15">(E$126*($C136)^3)+(E$127*($C136)^2)+(E$128*($C136)^1)+(E$129)</f>
        <v>88.542857142857116</v>
      </c>
      <c r="F136" s="2"/>
      <c r="H136" s="106">
        <v>3</v>
      </c>
      <c r="I136" s="393">
        <f t="shared" si="12"/>
        <v>88.542857142857116</v>
      </c>
      <c r="J136" s="105">
        <f t="shared" si="13"/>
        <v>88.7</v>
      </c>
      <c r="K136" s="412">
        <f t="shared" si="14"/>
        <v>-0.15714285714288678</v>
      </c>
    </row>
    <row r="137" spans="1:11" ht="15" customHeight="1" x14ac:dyDescent="0.2">
      <c r="C137" s="106">
        <v>4</v>
      </c>
      <c r="D137" s="105">
        <f t="shared" si="11"/>
        <v>105.5</v>
      </c>
      <c r="E137" s="114">
        <f>(E$126*($C137)^3)+(E$127*($C137)^2)+(E$128*($C137)^1)+(E$129)</f>
        <v>105.47142857142862</v>
      </c>
      <c r="F137" s="2"/>
      <c r="H137" s="106">
        <v>4</v>
      </c>
      <c r="I137" s="393">
        <f t="shared" si="12"/>
        <v>105.47142857142862</v>
      </c>
      <c r="J137" s="105">
        <f t="shared" si="13"/>
        <v>105.4</v>
      </c>
      <c r="K137" s="412">
        <f t="shared" si="14"/>
        <v>7.1428571428612031E-2</v>
      </c>
    </row>
    <row r="138" spans="1:11" ht="15" customHeight="1" x14ac:dyDescent="0.2">
      <c r="C138" s="106">
        <v>5</v>
      </c>
      <c r="D138" s="110">
        <f t="shared" si="11"/>
        <v>120.5</v>
      </c>
      <c r="E138" s="114">
        <f>(E$126*($C138)^3)+(E$127*($C138)^2)+(E$128*($C138)^1)+(E$129)</f>
        <v>120.5071428571429</v>
      </c>
      <c r="F138" s="115"/>
      <c r="H138" s="106">
        <v>5</v>
      </c>
      <c r="I138" s="393">
        <f t="shared" si="12"/>
        <v>120.5071428571429</v>
      </c>
      <c r="J138" s="110">
        <f t="shared" si="13"/>
        <v>120.5</v>
      </c>
      <c r="K138" s="411">
        <f t="shared" si="14"/>
        <v>7.1428571428953092E-3</v>
      </c>
    </row>
    <row r="139" spans="1:11" ht="15" customHeight="1" x14ac:dyDescent="0.2">
      <c r="C139" s="106">
        <v>10</v>
      </c>
      <c r="D139" s="105">
        <f t="shared" si="11"/>
        <v>186.8</v>
      </c>
      <c r="E139" s="114"/>
      <c r="F139" s="115">
        <f>(F$126*($C139)^3)+(F$127*($C139)^2)+(F$128*($C139)^1)+(F$129)</f>
        <v>186.84142857142859</v>
      </c>
      <c r="H139" s="106">
        <v>10</v>
      </c>
      <c r="I139" s="393">
        <f>F139</f>
        <v>186.84142857142859</v>
      </c>
      <c r="J139" s="105">
        <f t="shared" si="13"/>
        <v>186.8</v>
      </c>
      <c r="K139" s="412">
        <f t="shared" si="14"/>
        <v>4.1428571428582472E-2</v>
      </c>
    </row>
    <row r="140" spans="1:11" ht="15" customHeight="1" x14ac:dyDescent="0.2">
      <c r="C140" s="106">
        <v>20</v>
      </c>
      <c r="D140" s="105">
        <f t="shared" si="11"/>
        <v>308.10000000000002</v>
      </c>
      <c r="E140" s="2"/>
      <c r="F140" s="115">
        <f t="shared" ref="F140:F143" si="16">(F$126*($C140)^3)+(F$127*($C140)^2)+(F$128*($C140)^1)+(F$129)</f>
        <v>307.93428571428575</v>
      </c>
      <c r="H140" s="106">
        <v>20</v>
      </c>
      <c r="I140" s="393">
        <f t="shared" ref="I140:I143" si="17">F140</f>
        <v>307.93428571428575</v>
      </c>
      <c r="J140" s="105">
        <f t="shared" si="13"/>
        <v>308.10000000000002</v>
      </c>
      <c r="K140" s="412">
        <f t="shared" si="14"/>
        <v>-0.16571428571427305</v>
      </c>
    </row>
    <row r="141" spans="1:11" ht="15" customHeight="1" x14ac:dyDescent="0.2">
      <c r="B141" s="28" t="s">
        <v>297</v>
      </c>
      <c r="C141" s="106">
        <v>30</v>
      </c>
      <c r="D141" s="105">
        <f t="shared" si="11"/>
        <v>412.2</v>
      </c>
      <c r="E141" s="2"/>
      <c r="F141" s="115">
        <f t="shared" si="16"/>
        <v>412.44857142857143</v>
      </c>
      <c r="H141" s="106">
        <v>30</v>
      </c>
      <c r="I141" s="393">
        <f t="shared" si="17"/>
        <v>412.44857142857143</v>
      </c>
      <c r="J141" s="105">
        <f t="shared" si="13"/>
        <v>412.2</v>
      </c>
      <c r="K141" s="412">
        <f t="shared" si="14"/>
        <v>0.24857142857143799</v>
      </c>
    </row>
    <row r="142" spans="1:11" ht="15" customHeight="1" x14ac:dyDescent="0.2">
      <c r="C142" s="106">
        <v>40</v>
      </c>
      <c r="D142" s="105">
        <f t="shared" si="11"/>
        <v>508.1</v>
      </c>
      <c r="E142" s="2"/>
      <c r="F142" s="115">
        <f t="shared" si="16"/>
        <v>507.93428571428569</v>
      </c>
      <c r="H142" s="106">
        <v>40</v>
      </c>
      <c r="I142" s="393">
        <f t="shared" si="17"/>
        <v>507.93428571428569</v>
      </c>
      <c r="J142" s="105">
        <f t="shared" si="13"/>
        <v>508.1</v>
      </c>
      <c r="K142" s="412">
        <f t="shared" si="14"/>
        <v>-0.16571428571432989</v>
      </c>
    </row>
    <row r="143" spans="1:11" ht="15" customHeight="1" x14ac:dyDescent="0.2">
      <c r="C143" s="106">
        <v>50</v>
      </c>
      <c r="D143" s="110">
        <f t="shared" si="11"/>
        <v>601.9</v>
      </c>
      <c r="E143" s="2"/>
      <c r="F143" s="115">
        <f t="shared" si="16"/>
        <v>601.94142857142856</v>
      </c>
      <c r="H143" s="106">
        <v>50</v>
      </c>
      <c r="I143" s="394">
        <f t="shared" si="17"/>
        <v>601.94142857142856</v>
      </c>
      <c r="J143" s="110">
        <f t="shared" si="13"/>
        <v>601.9</v>
      </c>
      <c r="K143" s="411">
        <f t="shared" si="14"/>
        <v>4.1428571428582472E-2</v>
      </c>
    </row>
    <row r="144" spans="1:11" ht="15" customHeight="1" x14ac:dyDescent="0.2">
      <c r="I144" s="38"/>
    </row>
    <row r="145" spans="1:25" ht="15" customHeight="1" x14ac:dyDescent="0.2">
      <c r="D145" s="602">
        <f>D135/D134</f>
        <v>2.046875</v>
      </c>
      <c r="E145" s="603">
        <f>D138/D135</f>
        <v>1.8396946564885497</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32.680142857142862</v>
      </c>
      <c r="D157" s="119">
        <f>I134</f>
        <v>32.00714285714286</v>
      </c>
      <c r="E157" s="118">
        <v>0.67300000000000004</v>
      </c>
      <c r="F157" s="152">
        <f>E157/D157</f>
        <v>2.1026556572193707E-2</v>
      </c>
      <c r="G157" s="374">
        <f t="shared" ref="G157:G166" si="18">G30</f>
        <v>0.9</v>
      </c>
      <c r="H157" s="375">
        <f>E157-G157</f>
        <v>-0.22699999999999998</v>
      </c>
      <c r="J157" s="917">
        <f>C59</f>
        <v>2.1000000000000001E-2</v>
      </c>
      <c r="K157" s="150">
        <f>J157-F157</f>
        <v>-2.6556572193706107E-5</v>
      </c>
      <c r="M157" s="402">
        <f>C157/D157</f>
        <v>1.0210265565721937</v>
      </c>
      <c r="N157" s="143">
        <f>D157*M157</f>
        <v>32.680142857142862</v>
      </c>
      <c r="O157" s="287">
        <f t="shared" ref="O157:O166" si="19">N157-C157</f>
        <v>0</v>
      </c>
      <c r="P157" s="288">
        <f>J157/F157</f>
        <v>0.9987369985141159</v>
      </c>
      <c r="Q157" s="289">
        <f t="shared" ref="Q157:Q166" si="20">P157*E157</f>
        <v>0.67215000000000003</v>
      </c>
      <c r="R157" s="267" t="s">
        <v>200</v>
      </c>
      <c r="U157" s="152">
        <f>E157/D157</f>
        <v>2.1026556572193707E-2</v>
      </c>
      <c r="Y157">
        <f>1.6/1.99</f>
        <v>0.8040201005025126</v>
      </c>
    </row>
    <row r="158" spans="1:25" ht="15" customHeight="1" x14ac:dyDescent="0.2">
      <c r="A158" s="118">
        <v>1.6</v>
      </c>
      <c r="B158" s="106">
        <v>2</v>
      </c>
      <c r="C158" s="120">
        <f t="shared" ref="C158:C166" si="21">D158+E158</f>
        <v>67.436428571428536</v>
      </c>
      <c r="D158" s="120">
        <f t="shared" ref="D158:D166" si="22">I135</f>
        <v>65.471428571428532</v>
      </c>
      <c r="E158" s="118">
        <v>1.9650000000000001</v>
      </c>
      <c r="F158" s="153">
        <f t="shared" ref="F158:F166" si="23">E158/D158</f>
        <v>3.001309186122629E-2</v>
      </c>
      <c r="G158" s="376">
        <f t="shared" si="18"/>
        <v>1.6</v>
      </c>
      <c r="H158" s="377">
        <f t="shared" ref="H158:H166" si="24">E158-G158</f>
        <v>0.36499999999999999</v>
      </c>
      <c r="J158" s="402">
        <f t="shared" ref="J158:J166" si="25">C60</f>
        <v>0.03</v>
      </c>
      <c r="K158" s="150">
        <f t="shared" ref="K158:K165" si="26">J158-F158</f>
        <v>-1.3091861226291468E-5</v>
      </c>
      <c r="M158" s="402">
        <f t="shared" ref="M158:M166" si="27">C158/D158</f>
        <v>1.0300130918612262</v>
      </c>
      <c r="N158" s="144">
        <f t="shared" ref="N158:N166" si="28">D158*M158</f>
        <v>67.436428571428536</v>
      </c>
      <c r="O158" s="287">
        <f t="shared" si="19"/>
        <v>0</v>
      </c>
      <c r="P158" s="288">
        <f t="shared" ref="P158:P166" si="29">J158/F158</f>
        <v>0.99956379498364167</v>
      </c>
      <c r="Q158" s="290">
        <f t="shared" si="20"/>
        <v>1.9641428571428559</v>
      </c>
      <c r="R158" s="267" t="s">
        <v>312</v>
      </c>
      <c r="U158" s="152">
        <f t="shared" ref="U158:U166" si="30">E158/D158</f>
        <v>3.001309186122629E-2</v>
      </c>
    </row>
    <row r="159" spans="1:25" ht="15" customHeight="1" x14ac:dyDescent="0.2">
      <c r="A159" s="118">
        <v>2.6</v>
      </c>
      <c r="B159" s="106">
        <v>3</v>
      </c>
      <c r="C159" s="121">
        <f t="shared" si="21"/>
        <v>91.992857142857119</v>
      </c>
      <c r="D159" s="121">
        <f t="shared" si="22"/>
        <v>88.542857142857116</v>
      </c>
      <c r="E159" s="118">
        <v>3.45</v>
      </c>
      <c r="F159" s="154">
        <f t="shared" si="23"/>
        <v>3.8964181994191688E-2</v>
      </c>
      <c r="G159" s="378">
        <f t="shared" si="18"/>
        <v>2.6</v>
      </c>
      <c r="H159" s="379">
        <f t="shared" si="24"/>
        <v>0.85000000000000009</v>
      </c>
      <c r="J159" s="402">
        <f t="shared" si="25"/>
        <v>3.9E-2</v>
      </c>
      <c r="K159" s="150">
        <f t="shared" si="26"/>
        <v>3.5818005808312126E-5</v>
      </c>
      <c r="M159" s="402">
        <f t="shared" si="27"/>
        <v>1.0389641819941917</v>
      </c>
      <c r="N159" s="145">
        <f t="shared" si="28"/>
        <v>91.992857142857119</v>
      </c>
      <c r="O159" s="287">
        <f t="shared" si="19"/>
        <v>0</v>
      </c>
      <c r="P159" s="288">
        <f t="shared" si="29"/>
        <v>1.0009192546583847</v>
      </c>
      <c r="Q159" s="288">
        <f t="shared" si="20"/>
        <v>3.4531714285714274</v>
      </c>
      <c r="R159" s="267" t="s">
        <v>143</v>
      </c>
      <c r="U159" s="152">
        <f t="shared" si="30"/>
        <v>3.8964181994191688E-2</v>
      </c>
    </row>
    <row r="160" spans="1:25" ht="15" customHeight="1" x14ac:dyDescent="0.2">
      <c r="A160" s="118">
        <v>3.8</v>
      </c>
      <c r="B160" s="106">
        <v>4</v>
      </c>
      <c r="C160" s="121">
        <f t="shared" si="21"/>
        <v>110.59142857142862</v>
      </c>
      <c r="D160" s="121">
        <f t="shared" si="22"/>
        <v>105.47142857142862</v>
      </c>
      <c r="E160" s="118">
        <v>5.12</v>
      </c>
      <c r="F160" s="154">
        <f t="shared" si="23"/>
        <v>4.8543952322903948E-2</v>
      </c>
      <c r="G160" s="378">
        <f t="shared" si="18"/>
        <v>3.8</v>
      </c>
      <c r="H160" s="379">
        <f t="shared" si="24"/>
        <v>1.3200000000000003</v>
      </c>
      <c r="J160" s="402">
        <f t="shared" si="25"/>
        <v>4.8499999999999995E-2</v>
      </c>
      <c r="K160" s="150">
        <f t="shared" si="26"/>
        <v>-4.3952322903953456E-5</v>
      </c>
      <c r="M160" s="402">
        <f t="shared" si="27"/>
        <v>1.0485439523229041</v>
      </c>
      <c r="N160" s="145">
        <f t="shared" si="28"/>
        <v>110.59142857142864</v>
      </c>
      <c r="O160" s="287">
        <f t="shared" si="19"/>
        <v>0</v>
      </c>
      <c r="P160" s="288">
        <f t="shared" si="29"/>
        <v>0.99909458705357179</v>
      </c>
      <c r="Q160" s="288">
        <f t="shared" si="20"/>
        <v>5.1153642857142874</v>
      </c>
      <c r="R160" s="88" t="s">
        <v>142</v>
      </c>
      <c r="U160" s="152">
        <f t="shared" si="30"/>
        <v>4.8543952322903948E-2</v>
      </c>
    </row>
    <row r="161" spans="1:25" ht="15" customHeight="1" x14ac:dyDescent="0.2">
      <c r="A161" s="118">
        <v>5.0999999999999996</v>
      </c>
      <c r="B161" s="106">
        <v>5</v>
      </c>
      <c r="C161" s="120">
        <f t="shared" si="21"/>
        <v>127.49714285714289</v>
      </c>
      <c r="D161" s="120">
        <f t="shared" si="22"/>
        <v>120.5071428571429</v>
      </c>
      <c r="E161" s="118">
        <v>6.99</v>
      </c>
      <c r="F161" s="153">
        <f t="shared" si="23"/>
        <v>5.8004860411356753E-2</v>
      </c>
      <c r="G161" s="376">
        <f t="shared" si="18"/>
        <v>5.0999999999999996</v>
      </c>
      <c r="H161" s="377">
        <f t="shared" si="24"/>
        <v>1.8900000000000006</v>
      </c>
      <c r="J161" s="402">
        <f t="shared" si="25"/>
        <v>5.7999999999999996E-2</v>
      </c>
      <c r="K161" s="150">
        <f t="shared" si="26"/>
        <v>-4.8604113567565776E-6</v>
      </c>
      <c r="M161" s="402">
        <f t="shared" si="27"/>
        <v>1.0580048604113568</v>
      </c>
      <c r="N161" s="144">
        <f t="shared" si="28"/>
        <v>127.4971428571429</v>
      </c>
      <c r="O161" s="287">
        <f t="shared" si="19"/>
        <v>0</v>
      </c>
      <c r="P161" s="288">
        <f t="shared" si="29"/>
        <v>0.99991620682607818</v>
      </c>
      <c r="Q161" s="290">
        <f t="shared" si="20"/>
        <v>6.9894142857142869</v>
      </c>
      <c r="U161" s="152">
        <f t="shared" si="30"/>
        <v>5.8004860411356753E-2</v>
      </c>
      <c r="Y161">
        <f>0.9/0.75</f>
        <v>1.2</v>
      </c>
    </row>
    <row r="162" spans="1:25" ht="15" customHeight="1" x14ac:dyDescent="0.2">
      <c r="A162" s="118">
        <v>15.1</v>
      </c>
      <c r="B162" s="106">
        <v>10</v>
      </c>
      <c r="C162" s="121">
        <f t="shared" si="21"/>
        <v>206.28142857142859</v>
      </c>
      <c r="D162" s="121">
        <f t="shared" si="22"/>
        <v>186.84142857142859</v>
      </c>
      <c r="E162" s="118">
        <v>19.440000000000001</v>
      </c>
      <c r="F162" s="154">
        <f t="shared" si="23"/>
        <v>0.10404544724709264</v>
      </c>
      <c r="G162" s="378">
        <f t="shared" si="18"/>
        <v>15.1</v>
      </c>
      <c r="H162" s="379">
        <f t="shared" si="24"/>
        <v>4.3400000000000016</v>
      </c>
      <c r="J162" s="402">
        <f t="shared" si="25"/>
        <v>0.10400000000000001</v>
      </c>
      <c r="K162" s="150">
        <f t="shared" si="26"/>
        <v>-4.5447247092628151E-5</v>
      </c>
      <c r="M162" s="402">
        <f t="shared" si="27"/>
        <v>1.1040454472470926</v>
      </c>
      <c r="N162" s="145">
        <f t="shared" si="28"/>
        <v>206.28142857142859</v>
      </c>
      <c r="O162" s="287">
        <f t="shared" si="19"/>
        <v>0</v>
      </c>
      <c r="P162" s="288">
        <f t="shared" si="29"/>
        <v>0.99956319811875383</v>
      </c>
      <c r="Q162" s="288">
        <f t="shared" si="20"/>
        <v>19.431508571428576</v>
      </c>
      <c r="U162" s="152">
        <f t="shared" si="30"/>
        <v>0.10404544724709264</v>
      </c>
    </row>
    <row r="163" spans="1:25" ht="15" customHeight="1" x14ac:dyDescent="0.2">
      <c r="A163" s="118">
        <v>44</v>
      </c>
      <c r="B163" s="106">
        <v>20</v>
      </c>
      <c r="C163" s="121">
        <f t="shared" si="21"/>
        <v>354.13428571428574</v>
      </c>
      <c r="D163" s="121">
        <f t="shared" si="22"/>
        <v>307.93428571428575</v>
      </c>
      <c r="E163" s="118">
        <v>46.2</v>
      </c>
      <c r="F163" s="154">
        <f t="shared" si="23"/>
        <v>0.15003201054028223</v>
      </c>
      <c r="G163" s="378">
        <f t="shared" si="18"/>
        <v>44</v>
      </c>
      <c r="H163" s="379">
        <f t="shared" si="24"/>
        <v>2.2000000000000028</v>
      </c>
      <c r="J163" s="402">
        <f t="shared" si="25"/>
        <v>0.15</v>
      </c>
      <c r="K163" s="150">
        <f t="shared" si="26"/>
        <v>-3.2010540282234601E-5</v>
      </c>
      <c r="M163" s="402">
        <f t="shared" si="27"/>
        <v>1.1500320105402821</v>
      </c>
      <c r="N163" s="145">
        <f t="shared" si="28"/>
        <v>354.13428571428574</v>
      </c>
      <c r="O163" s="287">
        <f t="shared" si="19"/>
        <v>0</v>
      </c>
      <c r="P163" s="288">
        <f t="shared" si="29"/>
        <v>0.99978664192949918</v>
      </c>
      <c r="Q163" s="288">
        <f t="shared" si="20"/>
        <v>46.190142857142867</v>
      </c>
      <c r="U163" s="152">
        <f t="shared" si="30"/>
        <v>0.15003201054028223</v>
      </c>
    </row>
    <row r="164" spans="1:25" ht="15" customHeight="1" x14ac:dyDescent="0.2">
      <c r="A164" s="118">
        <v>63.1</v>
      </c>
      <c r="B164" s="106">
        <v>30</v>
      </c>
      <c r="C164" s="121">
        <f>D164+E164</f>
        <v>474.29857142857145</v>
      </c>
      <c r="D164" s="121">
        <f t="shared" si="22"/>
        <v>412.44857142857143</v>
      </c>
      <c r="E164" s="118">
        <v>61.85</v>
      </c>
      <c r="F164" s="154">
        <f t="shared" si="23"/>
        <v>0.14995809001295399</v>
      </c>
      <c r="G164" s="378">
        <f t="shared" si="18"/>
        <v>63.1</v>
      </c>
      <c r="H164" s="379">
        <f t="shared" si="24"/>
        <v>-1.25</v>
      </c>
      <c r="J164" s="402">
        <f t="shared" si="25"/>
        <v>0.15</v>
      </c>
      <c r="K164" s="150">
        <f t="shared" si="26"/>
        <v>4.1909987046007124E-5</v>
      </c>
      <c r="M164" s="402">
        <f t="shared" si="27"/>
        <v>1.149958090012954</v>
      </c>
      <c r="N164" s="145">
        <f t="shared" si="28"/>
        <v>474.29857142857145</v>
      </c>
      <c r="O164" s="287">
        <f t="shared" si="19"/>
        <v>0</v>
      </c>
      <c r="P164" s="288">
        <f t="shared" si="29"/>
        <v>1.000279477999769</v>
      </c>
      <c r="Q164" s="288">
        <f t="shared" si="20"/>
        <v>61.867285714285714</v>
      </c>
      <c r="U164" s="152">
        <f t="shared" si="30"/>
        <v>0.14995809001295399</v>
      </c>
    </row>
    <row r="165" spans="1:25" ht="15" customHeight="1" x14ac:dyDescent="0.2">
      <c r="A165" s="118">
        <v>78.8</v>
      </c>
      <c r="B165" s="106">
        <v>40</v>
      </c>
      <c r="C165" s="121">
        <f t="shared" si="21"/>
        <v>584.13428571428574</v>
      </c>
      <c r="D165" s="121">
        <f t="shared" si="22"/>
        <v>507.93428571428569</v>
      </c>
      <c r="E165" s="118">
        <v>76.2</v>
      </c>
      <c r="F165" s="154">
        <f t="shared" si="23"/>
        <v>0.15001940633490274</v>
      </c>
      <c r="G165" s="378">
        <f t="shared" si="18"/>
        <v>78.8</v>
      </c>
      <c r="H165" s="379">
        <f t="shared" si="24"/>
        <v>-2.5999999999999943</v>
      </c>
      <c r="J165" s="402">
        <f t="shared" si="25"/>
        <v>0.15</v>
      </c>
      <c r="K165" s="150">
        <f t="shared" si="26"/>
        <v>-1.9406334902744016E-5</v>
      </c>
      <c r="M165" s="402">
        <f t="shared" si="27"/>
        <v>1.1500194063349027</v>
      </c>
      <c r="N165" s="145">
        <f t="shared" si="28"/>
        <v>584.13428571428574</v>
      </c>
      <c r="O165" s="287">
        <f t="shared" si="19"/>
        <v>0</v>
      </c>
      <c r="P165" s="288">
        <f t="shared" si="29"/>
        <v>0.99987064116985358</v>
      </c>
      <c r="Q165" s="288">
        <f t="shared" si="20"/>
        <v>76.190142857142845</v>
      </c>
      <c r="U165" s="152">
        <f t="shared" si="30"/>
        <v>0.15001940633490274</v>
      </c>
    </row>
    <row r="166" spans="1:25" ht="15" customHeight="1" x14ac:dyDescent="0.2">
      <c r="A166" s="118">
        <v>93.8</v>
      </c>
      <c r="B166" s="106">
        <v>50</v>
      </c>
      <c r="C166" s="120">
        <f t="shared" si="21"/>
        <v>692.24142857142851</v>
      </c>
      <c r="D166" s="120">
        <f t="shared" si="22"/>
        <v>601.94142857142856</v>
      </c>
      <c r="E166" s="118">
        <v>90.3</v>
      </c>
      <c r="F166" s="153">
        <f t="shared" si="23"/>
        <v>0.15001459562985484</v>
      </c>
      <c r="G166" s="380">
        <f t="shared" si="18"/>
        <v>93.8</v>
      </c>
      <c r="H166" s="381">
        <f t="shared" si="24"/>
        <v>-3.5</v>
      </c>
      <c r="J166" s="403">
        <f t="shared" si="25"/>
        <v>0.15</v>
      </c>
      <c r="K166" s="151">
        <f>J166-F166</f>
        <v>-1.4595629854841086E-5</v>
      </c>
      <c r="M166" s="403">
        <f t="shared" si="27"/>
        <v>1.1500145956298549</v>
      </c>
      <c r="N166" s="146">
        <f t="shared" si="28"/>
        <v>692.24142857142863</v>
      </c>
      <c r="O166" s="287">
        <f t="shared" si="19"/>
        <v>0</v>
      </c>
      <c r="P166" s="288">
        <f t="shared" si="29"/>
        <v>0.99990270526815372</v>
      </c>
      <c r="Q166" s="290">
        <f t="shared" si="20"/>
        <v>90.291214285714275</v>
      </c>
      <c r="U166" s="152">
        <f t="shared" si="30"/>
        <v>0.15001459562985484</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X183" t="s">
        <v>702</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row>
    <row r="185" spans="2:26" ht="15" customHeight="1" x14ac:dyDescent="0.2">
      <c r="B185" s="106">
        <v>1</v>
      </c>
      <c r="C185" s="119">
        <f>(D185-J185)</f>
        <v>41.180142857142854</v>
      </c>
      <c r="D185" s="698">
        <f>(F185+G185+M185+L185)+$E$179</f>
        <v>112.18014285714285</v>
      </c>
      <c r="E185" s="119">
        <f>F185+G185</f>
        <v>32.680142857142862</v>
      </c>
      <c r="F185" s="119">
        <f t="shared" ref="F185:G194" si="31">D157</f>
        <v>32.00714285714286</v>
      </c>
      <c r="G185" s="175">
        <f t="shared" si="31"/>
        <v>0.67300000000000004</v>
      </c>
      <c r="H185" s="155">
        <f>G185/F185</f>
        <v>2.1026556572193707E-2</v>
      </c>
      <c r="I185" s="119">
        <f>O185</f>
        <v>75.7</v>
      </c>
      <c r="J185" s="694">
        <v>71</v>
      </c>
      <c r="K185" s="690">
        <v>4</v>
      </c>
      <c r="L185" s="507">
        <f>P185</f>
        <v>3.8</v>
      </c>
      <c r="M185" s="497">
        <f>O185</f>
        <v>75.7</v>
      </c>
      <c r="N185" t="s">
        <v>34</v>
      </c>
      <c r="O185" s="417">
        <v>75.7</v>
      </c>
      <c r="P185" s="417">
        <v>3.8</v>
      </c>
      <c r="Q185" s="422">
        <v>109</v>
      </c>
      <c r="R185" s="432">
        <f>D185-Q185</f>
        <v>3.1801428571428545</v>
      </c>
      <c r="S185" s="433">
        <f t="shared" ref="S185:S194" si="32">G185-G30</f>
        <v>-0.22699999999999998</v>
      </c>
      <c r="T185" s="420">
        <v>13.9</v>
      </c>
      <c r="X185" s="106">
        <v>1</v>
      </c>
      <c r="Y185">
        <v>3.8</v>
      </c>
    </row>
    <row r="186" spans="2:26" ht="15" customHeight="1" x14ac:dyDescent="0.2">
      <c r="B186" s="106">
        <v>2</v>
      </c>
      <c r="C186" s="120">
        <f t="shared" ref="C186:C193" si="33">(D186-J186)</f>
        <v>76.836428571428513</v>
      </c>
      <c r="D186" s="699">
        <f t="shared" ref="D186:D193" si="34">(F186+G186+M186+L186)+$E$179</f>
        <v>147.83642857142851</v>
      </c>
      <c r="E186" s="120">
        <f t="shared" ref="E186:E191" si="35">F186+G186</f>
        <v>67.436428571428536</v>
      </c>
      <c r="F186" s="120">
        <f t="shared" si="31"/>
        <v>65.471428571428532</v>
      </c>
      <c r="G186" s="176">
        <f t="shared" si="31"/>
        <v>1.9650000000000001</v>
      </c>
      <c r="H186" s="156">
        <f t="shared" ref="H186:H194" si="36">G186/F186</f>
        <v>3.001309186122629E-2</v>
      </c>
      <c r="I186" s="120">
        <f t="shared" ref="I186:I194" si="37">O186</f>
        <v>75.3</v>
      </c>
      <c r="J186" s="695">
        <f>J185</f>
        <v>71</v>
      </c>
      <c r="K186" s="691">
        <v>4</v>
      </c>
      <c r="L186" s="507">
        <f t="shared" ref="L186:L194" si="38">P186</f>
        <v>5.0999999999999996</v>
      </c>
      <c r="M186" s="497">
        <f t="shared" ref="M186:M194" si="39">O186</f>
        <v>75.3</v>
      </c>
      <c r="N186" t="s">
        <v>697</v>
      </c>
      <c r="O186" s="242">
        <v>75.3</v>
      </c>
      <c r="P186" s="419">
        <v>5.0999999999999996</v>
      </c>
      <c r="Q186" s="423">
        <v>148</v>
      </c>
      <c r="R186" s="434">
        <f t="shared" ref="R186:R194" si="40">D186-Q186</f>
        <v>-0.16357142857148688</v>
      </c>
      <c r="S186" s="435">
        <f t="shared" si="32"/>
        <v>0.36499999999999999</v>
      </c>
      <c r="X186" s="106">
        <v>2</v>
      </c>
      <c r="Y186">
        <v>5.0999999999999996</v>
      </c>
    </row>
    <row r="187" spans="2:26" ht="15" customHeight="1" x14ac:dyDescent="0.2">
      <c r="B187" s="106">
        <v>3</v>
      </c>
      <c r="C187" s="121">
        <f t="shared" si="33"/>
        <v>101.9928571428571</v>
      </c>
      <c r="D187" s="700">
        <f>(F187+G187+M187+L187)+$E$179</f>
        <v>172.9928571428571</v>
      </c>
      <c r="E187" s="121">
        <f t="shared" si="35"/>
        <v>91.992857142857119</v>
      </c>
      <c r="F187" s="121">
        <f t="shared" si="31"/>
        <v>88.542857142857116</v>
      </c>
      <c r="G187" s="177">
        <f t="shared" si="31"/>
        <v>3.45</v>
      </c>
      <c r="H187" s="157">
        <f t="shared" si="36"/>
        <v>3.8964181994191688E-2</v>
      </c>
      <c r="I187" s="121">
        <f t="shared" si="37"/>
        <v>74.8</v>
      </c>
      <c r="J187" s="696">
        <f t="shared" ref="J187:J194" si="41">J186</f>
        <v>71</v>
      </c>
      <c r="K187" s="692">
        <v>4</v>
      </c>
      <c r="L187" s="507">
        <f t="shared" si="38"/>
        <v>6.2</v>
      </c>
      <c r="M187" s="497">
        <f t="shared" si="39"/>
        <v>74.8</v>
      </c>
      <c r="O187" s="243">
        <v>74.8</v>
      </c>
      <c r="P187" s="243">
        <v>6.2</v>
      </c>
      <c r="Q187" s="424">
        <v>172</v>
      </c>
      <c r="R187" s="436">
        <f t="shared" si="40"/>
        <v>0.99285714285710469</v>
      </c>
      <c r="S187" s="437">
        <f t="shared" si="32"/>
        <v>0.85000000000000009</v>
      </c>
      <c r="X187" s="106">
        <v>3</v>
      </c>
      <c r="Y187">
        <v>6.2</v>
      </c>
    </row>
    <row r="188" spans="2:26" ht="15" customHeight="1" x14ac:dyDescent="0.2">
      <c r="B188" s="106">
        <v>4</v>
      </c>
      <c r="C188" s="121">
        <f t="shared" si="33"/>
        <v>121.19142857142862</v>
      </c>
      <c r="D188" s="700">
        <f t="shared" si="34"/>
        <v>192.19142857142862</v>
      </c>
      <c r="E188" s="121">
        <f t="shared" si="35"/>
        <v>110.59142857142862</v>
      </c>
      <c r="F188" s="121">
        <f t="shared" si="31"/>
        <v>105.47142857142862</v>
      </c>
      <c r="G188" s="177">
        <f t="shared" si="31"/>
        <v>5.12</v>
      </c>
      <c r="H188" s="157">
        <f t="shared" si="36"/>
        <v>4.8543952322903948E-2</v>
      </c>
      <c r="I188" s="121">
        <f t="shared" si="37"/>
        <v>74.5</v>
      </c>
      <c r="J188" s="696">
        <f t="shared" si="41"/>
        <v>71</v>
      </c>
      <c r="K188" s="692">
        <v>4</v>
      </c>
      <c r="L188" s="507">
        <f t="shared" si="38"/>
        <v>7.1</v>
      </c>
      <c r="M188" s="497">
        <f t="shared" si="39"/>
        <v>74.5</v>
      </c>
      <c r="O188" s="243">
        <v>74.5</v>
      </c>
      <c r="P188" s="243">
        <v>7.1</v>
      </c>
      <c r="Q188" s="424">
        <v>191</v>
      </c>
      <c r="R188" s="436">
        <f t="shared" si="40"/>
        <v>1.1914285714286166</v>
      </c>
      <c r="S188" s="437">
        <f t="shared" si="32"/>
        <v>1.3200000000000003</v>
      </c>
      <c r="X188" s="106">
        <v>4</v>
      </c>
      <c r="Y188">
        <v>7.1</v>
      </c>
    </row>
    <row r="189" spans="2:26" ht="15" customHeight="1" x14ac:dyDescent="0.2">
      <c r="B189" s="106">
        <v>5</v>
      </c>
      <c r="C189" s="120">
        <f t="shared" si="33"/>
        <v>138.99714285714288</v>
      </c>
      <c r="D189" s="699">
        <f t="shared" si="34"/>
        <v>209.99714285714288</v>
      </c>
      <c r="E189" s="120">
        <f t="shared" si="35"/>
        <v>127.49714285714289</v>
      </c>
      <c r="F189" s="120">
        <f t="shared" si="31"/>
        <v>120.5071428571429</v>
      </c>
      <c r="G189" s="176">
        <f t="shared" si="31"/>
        <v>6.99</v>
      </c>
      <c r="H189" s="156">
        <f t="shared" si="36"/>
        <v>5.8004860411356753E-2</v>
      </c>
      <c r="I189" s="120">
        <f t="shared" si="37"/>
        <v>74.5</v>
      </c>
      <c r="J189" s="695">
        <f t="shared" si="41"/>
        <v>71</v>
      </c>
      <c r="K189" s="691">
        <v>4</v>
      </c>
      <c r="L189" s="507">
        <f t="shared" si="38"/>
        <v>8</v>
      </c>
      <c r="M189" s="497">
        <f t="shared" si="39"/>
        <v>74.5</v>
      </c>
      <c r="O189" s="242">
        <v>74.5</v>
      </c>
      <c r="P189" s="242">
        <v>8</v>
      </c>
      <c r="Q189" s="423">
        <v>209</v>
      </c>
      <c r="R189" s="434">
        <f t="shared" si="40"/>
        <v>0.99714285714287598</v>
      </c>
      <c r="S189" s="435">
        <f t="shared" si="32"/>
        <v>1.8900000000000006</v>
      </c>
      <c r="X189" s="106">
        <v>5</v>
      </c>
      <c r="Y189">
        <v>8</v>
      </c>
    </row>
    <row r="190" spans="2:26" ht="15" customHeight="1" x14ac:dyDescent="0.2">
      <c r="B190" s="106">
        <v>10</v>
      </c>
      <c r="C190" s="121">
        <f t="shared" si="33"/>
        <v>220.0814285714286</v>
      </c>
      <c r="D190" s="700">
        <f t="shared" si="34"/>
        <v>291.0814285714286</v>
      </c>
      <c r="E190" s="121">
        <f t="shared" si="35"/>
        <v>206.28142857142859</v>
      </c>
      <c r="F190" s="121">
        <f t="shared" si="31"/>
        <v>186.84142857142859</v>
      </c>
      <c r="G190" s="177">
        <f t="shared" si="31"/>
        <v>19.440000000000001</v>
      </c>
      <c r="H190" s="157">
        <f t="shared" si="36"/>
        <v>0.10404544724709264</v>
      </c>
      <c r="I190" s="121">
        <f t="shared" si="37"/>
        <v>74.599999999999994</v>
      </c>
      <c r="J190" s="696">
        <f t="shared" si="41"/>
        <v>71</v>
      </c>
      <c r="K190" s="692">
        <v>4</v>
      </c>
      <c r="L190" s="507">
        <f t="shared" si="38"/>
        <v>10.199999999999999</v>
      </c>
      <c r="M190" s="497">
        <f t="shared" si="39"/>
        <v>74.599999999999994</v>
      </c>
      <c r="O190" s="243">
        <v>74.599999999999994</v>
      </c>
      <c r="P190" s="243">
        <v>10.199999999999999</v>
      </c>
      <c r="Q190" s="424">
        <v>287</v>
      </c>
      <c r="R190" s="436">
        <f t="shared" si="40"/>
        <v>4.0814285714286029</v>
      </c>
      <c r="S190" s="437">
        <f t="shared" si="32"/>
        <v>4.3400000000000016</v>
      </c>
      <c r="X190" s="106">
        <v>10</v>
      </c>
      <c r="Y190">
        <v>10.199999999999999</v>
      </c>
    </row>
    <row r="191" spans="2:26" ht="15" customHeight="1" x14ac:dyDescent="0.2">
      <c r="B191" s="106">
        <v>20</v>
      </c>
      <c r="C191" s="121">
        <f t="shared" si="33"/>
        <v>369.43428571428575</v>
      </c>
      <c r="D191" s="700">
        <f t="shared" si="34"/>
        <v>440.43428571428575</v>
      </c>
      <c r="E191" s="121">
        <f t="shared" si="35"/>
        <v>354.13428571428574</v>
      </c>
      <c r="F191" s="121">
        <f t="shared" si="31"/>
        <v>307.93428571428575</v>
      </c>
      <c r="G191" s="177">
        <f t="shared" si="31"/>
        <v>46.2</v>
      </c>
      <c r="H191" s="157">
        <f t="shared" si="36"/>
        <v>0.15003201054028223</v>
      </c>
      <c r="I191" s="121">
        <f t="shared" si="37"/>
        <v>74.5</v>
      </c>
      <c r="J191" s="696">
        <f t="shared" si="41"/>
        <v>71</v>
      </c>
      <c r="K191" s="692">
        <v>4</v>
      </c>
      <c r="L191" s="507">
        <f t="shared" si="38"/>
        <v>11.8</v>
      </c>
      <c r="M191" s="497">
        <f t="shared" si="39"/>
        <v>74.5</v>
      </c>
      <c r="O191" s="243">
        <v>74.5</v>
      </c>
      <c r="P191" s="243">
        <v>11.8</v>
      </c>
      <c r="Q191" s="424">
        <v>439</v>
      </c>
      <c r="R191" s="436">
        <f t="shared" si="40"/>
        <v>1.4342857142857497</v>
      </c>
      <c r="S191" s="437">
        <f t="shared" si="32"/>
        <v>2.2000000000000028</v>
      </c>
      <c r="X191" s="106">
        <v>20</v>
      </c>
      <c r="Y191">
        <v>11.8</v>
      </c>
    </row>
    <row r="192" spans="2:26" ht="15" customHeight="1" x14ac:dyDescent="0.2">
      <c r="B192" s="106">
        <v>30</v>
      </c>
      <c r="C192" s="121">
        <f t="shared" si="33"/>
        <v>490.5985714285714</v>
      </c>
      <c r="D192" s="700">
        <f t="shared" si="34"/>
        <v>561.5985714285714</v>
      </c>
      <c r="E192" s="121">
        <f>F192+G192</f>
        <v>474.29857142857145</v>
      </c>
      <c r="F192" s="121">
        <f t="shared" si="31"/>
        <v>412.44857142857143</v>
      </c>
      <c r="G192" s="177">
        <f t="shared" si="31"/>
        <v>61.85</v>
      </c>
      <c r="H192" s="157">
        <f t="shared" si="36"/>
        <v>0.14995809001295399</v>
      </c>
      <c r="I192" s="121">
        <f t="shared" si="37"/>
        <v>74.900000000000006</v>
      </c>
      <c r="J192" s="696">
        <f t="shared" si="41"/>
        <v>71</v>
      </c>
      <c r="K192" s="692">
        <v>4</v>
      </c>
      <c r="L192" s="507">
        <f t="shared" si="38"/>
        <v>12.4</v>
      </c>
      <c r="M192" s="497">
        <f t="shared" si="39"/>
        <v>74.900000000000006</v>
      </c>
      <c r="O192" s="243">
        <v>74.900000000000006</v>
      </c>
      <c r="P192" s="243">
        <v>12.4</v>
      </c>
      <c r="Q192" s="424">
        <v>562</v>
      </c>
      <c r="R192" s="436">
        <f t="shared" si="40"/>
        <v>-0.40142857142859611</v>
      </c>
      <c r="S192" s="437">
        <f t="shared" si="32"/>
        <v>-1.25</v>
      </c>
      <c r="X192" s="106">
        <v>30</v>
      </c>
      <c r="Y192">
        <v>12.4</v>
      </c>
    </row>
    <row r="193" spans="1:25" ht="15" customHeight="1" x14ac:dyDescent="0.2">
      <c r="B193" s="106">
        <v>40</v>
      </c>
      <c r="C193" s="121">
        <f t="shared" si="33"/>
        <v>601.43428571428569</v>
      </c>
      <c r="D193" s="700">
        <f t="shared" si="34"/>
        <v>672.43428571428569</v>
      </c>
      <c r="E193" s="121">
        <f t="shared" ref="E193:E194" si="42">F193+G193</f>
        <v>584.13428571428574</v>
      </c>
      <c r="F193" s="121">
        <f t="shared" si="31"/>
        <v>507.93428571428569</v>
      </c>
      <c r="G193" s="177">
        <f t="shared" si="31"/>
        <v>76.2</v>
      </c>
      <c r="H193" s="157">
        <f t="shared" si="36"/>
        <v>0.15001940633490274</v>
      </c>
      <c r="I193" s="121">
        <f t="shared" si="37"/>
        <v>75.400000000000006</v>
      </c>
      <c r="J193" s="696">
        <f t="shared" si="41"/>
        <v>71</v>
      </c>
      <c r="K193" s="692">
        <v>4</v>
      </c>
      <c r="L193" s="507">
        <f t="shared" si="38"/>
        <v>12.9</v>
      </c>
      <c r="M193" s="497">
        <f t="shared" si="39"/>
        <v>75.400000000000006</v>
      </c>
      <c r="O193" s="243">
        <v>75.400000000000006</v>
      </c>
      <c r="P193" s="243">
        <v>12.9</v>
      </c>
      <c r="Q193" s="424">
        <v>675</v>
      </c>
      <c r="R193" s="436">
        <f t="shared" si="40"/>
        <v>-2.5657142857143072</v>
      </c>
      <c r="S193" s="437">
        <f t="shared" si="32"/>
        <v>-2.5999999999999943</v>
      </c>
      <c r="X193" s="106">
        <v>40</v>
      </c>
      <c r="Y193">
        <v>12.9</v>
      </c>
    </row>
    <row r="194" spans="1:25" ht="15" customHeight="1" thickBot="1" x14ac:dyDescent="0.25">
      <c r="B194" s="106">
        <v>50</v>
      </c>
      <c r="C194" s="120">
        <f>(D194-J194)</f>
        <v>711.24142857142851</v>
      </c>
      <c r="D194" s="701">
        <f>(F194+G194+M194+L194)+$E$179</f>
        <v>782.24142857142851</v>
      </c>
      <c r="E194" s="120">
        <f t="shared" si="42"/>
        <v>692.24142857142851</v>
      </c>
      <c r="F194" s="120">
        <f t="shared" si="31"/>
        <v>601.94142857142856</v>
      </c>
      <c r="G194" s="176">
        <f t="shared" si="31"/>
        <v>90.3</v>
      </c>
      <c r="H194" s="156">
        <f t="shared" si="36"/>
        <v>0.15001459562985484</v>
      </c>
      <c r="I194" s="120">
        <f t="shared" si="37"/>
        <v>76.599999999999994</v>
      </c>
      <c r="J194" s="697">
        <f t="shared" si="41"/>
        <v>71</v>
      </c>
      <c r="K194" s="693">
        <v>4</v>
      </c>
      <c r="L194" s="507">
        <f t="shared" si="38"/>
        <v>13.4</v>
      </c>
      <c r="M194" s="497">
        <f t="shared" si="39"/>
        <v>76.599999999999994</v>
      </c>
      <c r="O194" s="554">
        <v>76.599999999999994</v>
      </c>
      <c r="P194" s="242">
        <v>13.4</v>
      </c>
      <c r="Q194" s="423">
        <v>786</v>
      </c>
      <c r="R194" s="438">
        <f t="shared" si="40"/>
        <v>-3.7585714285714857</v>
      </c>
      <c r="S194" s="439">
        <f t="shared" si="32"/>
        <v>-3.5</v>
      </c>
      <c r="X194" s="106">
        <v>50</v>
      </c>
      <c r="Y194">
        <v>13.4</v>
      </c>
    </row>
    <row r="195" spans="1:25" ht="15" customHeight="1" x14ac:dyDescent="0.2">
      <c r="I195" s="38"/>
      <c r="J195" s="560"/>
      <c r="K195" s="561"/>
      <c r="L195" s="565"/>
      <c r="M195" s="565"/>
      <c r="N195" s="565"/>
      <c r="O195" s="572"/>
    </row>
    <row r="196" spans="1:25" ht="15" customHeight="1" thickBot="1" x14ac:dyDescent="0.25">
      <c r="I196" s="38"/>
      <c r="J196" s="568" t="s">
        <v>422</v>
      </c>
      <c r="K196" s="569"/>
      <c r="L196" s="573"/>
      <c r="M196" s="573"/>
      <c r="N196" s="573"/>
      <c r="O196" s="574"/>
    </row>
    <row r="197" spans="1:25" x14ac:dyDescent="0.2">
      <c r="A197" s="90" t="s">
        <v>82</v>
      </c>
      <c r="B197" s="64" t="s">
        <v>83</v>
      </c>
      <c r="I197" s="38"/>
    </row>
    <row r="198" spans="1:25" ht="15" customHeight="1" x14ac:dyDescent="0.2">
      <c r="N198" s="500" t="s">
        <v>377</v>
      </c>
    </row>
    <row r="199" spans="1:25" ht="15" customHeight="1" x14ac:dyDescent="0.2">
      <c r="B199" s="90" t="s">
        <v>91</v>
      </c>
      <c r="C199" s="40"/>
      <c r="H199" s="503"/>
      <c r="I199" s="38"/>
    </row>
    <row r="200" spans="1:25" ht="15" customHeight="1" x14ac:dyDescent="0.2">
      <c r="B200" s="64" t="s">
        <v>92</v>
      </c>
      <c r="C200" s="40"/>
      <c r="D200" s="40"/>
      <c r="E200" s="40"/>
      <c r="F200" s="40"/>
      <c r="G200" s="40"/>
      <c r="H200" s="40"/>
      <c r="I200" s="40"/>
      <c r="J200" s="40"/>
      <c r="K200" s="40"/>
      <c r="L200" s="40"/>
      <c r="Q200" s="28" t="s">
        <v>168</v>
      </c>
    </row>
    <row r="201" spans="1:25" ht="15" customHeight="1" x14ac:dyDescent="0.2">
      <c r="B201" s="90" t="s">
        <v>93</v>
      </c>
      <c r="C201" s="40"/>
      <c r="D201" s="40"/>
      <c r="E201" s="40"/>
      <c r="F201" s="306" t="s">
        <v>153</v>
      </c>
      <c r="G201" s="40"/>
      <c r="H201" s="40"/>
      <c r="I201" s="28" t="s">
        <v>24</v>
      </c>
      <c r="J201" s="40"/>
      <c r="K201" s="40"/>
      <c r="Q201" s="28" t="s">
        <v>169</v>
      </c>
    </row>
    <row r="202" spans="1:25" ht="15" customHeight="1" x14ac:dyDescent="0.2">
      <c r="D202" s="56"/>
      <c r="H202" s="31" t="s">
        <v>11</v>
      </c>
      <c r="I202" s="32"/>
      <c r="J202" s="32"/>
      <c r="K202" s="33"/>
      <c r="L202" s="31" t="s">
        <v>16</v>
      </c>
      <c r="M202" s="32"/>
      <c r="N202" s="33"/>
      <c r="O202" s="84"/>
      <c r="P202" s="91" t="s">
        <v>56</v>
      </c>
      <c r="Q202" t="s">
        <v>117</v>
      </c>
    </row>
    <row r="203" spans="1:25"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5"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5" ht="15" customHeight="1" x14ac:dyDescent="0.2">
      <c r="B205" s="259" t="s">
        <v>6</v>
      </c>
      <c r="C205" s="12" t="s">
        <v>9</v>
      </c>
      <c r="D205" s="260">
        <v>2.5150000000000001</v>
      </c>
      <c r="E205" s="255">
        <v>1</v>
      </c>
      <c r="F205" s="249">
        <v>1.0935522329800906</v>
      </c>
      <c r="G205" s="122">
        <v>1.0160334346386042</v>
      </c>
      <c r="H205" s="34">
        <f>(D206*2.20462*25.4*12)</f>
        <v>3057.4552007999996</v>
      </c>
      <c r="I205" s="5">
        <f>F205*D$205*SQRT(4*D$207*H$205/32.2)/12</f>
        <v>41.180142857142854</v>
      </c>
      <c r="J205" s="1"/>
      <c r="K205" s="22"/>
      <c r="L205" s="96">
        <v>1</v>
      </c>
      <c r="M205" s="92">
        <f>L205*I205</f>
        <v>41.180142857142854</v>
      </c>
      <c r="N205" s="13"/>
      <c r="O205" s="84">
        <v>1</v>
      </c>
      <c r="P205" s="92">
        <f>C185</f>
        <v>41.180142857142854</v>
      </c>
      <c r="Q205" s="254">
        <f>P205/M205</f>
        <v>1</v>
      </c>
      <c r="R205" s="254">
        <f>G205*Q205</f>
        <v>1.0160334346386042</v>
      </c>
      <c r="S205" s="267" t="s">
        <v>138</v>
      </c>
    </row>
    <row r="206" spans="1:25" ht="15" customHeight="1" x14ac:dyDescent="0.2">
      <c r="B206" s="259" t="s">
        <v>7</v>
      </c>
      <c r="C206" s="12" t="s">
        <v>10</v>
      </c>
      <c r="D206" s="444">
        <v>4.55</v>
      </c>
      <c r="E206" s="255">
        <v>2</v>
      </c>
      <c r="F206" s="250">
        <v>1.0202083116854279</v>
      </c>
      <c r="G206" s="123">
        <v>1.0192599070859671</v>
      </c>
      <c r="H206" s="35"/>
      <c r="I206" s="5">
        <f>F206*D$205*SQRT(4*D$207*H$205/32.2)/12</f>
        <v>38.418214285714257</v>
      </c>
      <c r="J206" s="1"/>
      <c r="K206" s="22"/>
      <c r="L206" s="97">
        <v>2</v>
      </c>
      <c r="M206" s="93">
        <f>L206*I206</f>
        <v>76.836428571428513</v>
      </c>
      <c r="N206" s="13"/>
      <c r="O206" s="84">
        <v>2</v>
      </c>
      <c r="P206" s="93">
        <f t="shared" ref="P206:P214" si="43">C186</f>
        <v>76.836428571428513</v>
      </c>
      <c r="Q206" s="254">
        <f t="shared" ref="Q206:Q214" si="44">P206/M206</f>
        <v>1</v>
      </c>
      <c r="R206" s="254">
        <f t="shared" ref="R206:R214" si="45">G206*Q206</f>
        <v>1.0192599070859671</v>
      </c>
      <c r="S206" s="267" t="s">
        <v>139</v>
      </c>
    </row>
    <row r="207" spans="1:25" ht="15" customHeight="1" x14ac:dyDescent="0.2">
      <c r="B207" s="261" t="s">
        <v>8</v>
      </c>
      <c r="C207" s="262" t="s">
        <v>15</v>
      </c>
      <c r="D207" s="263">
        <v>85</v>
      </c>
      <c r="E207" s="255">
        <v>3</v>
      </c>
      <c r="F207" s="249">
        <v>0.90281795171289847</v>
      </c>
      <c r="G207" s="122">
        <v>0.90615633590299849</v>
      </c>
      <c r="H207" s="35"/>
      <c r="I207" s="5">
        <f t="shared" ref="I207:I214" si="46">F207*D$205*SQRT(4*D$207*H$205/32.2)/12</f>
        <v>33.997619047619033</v>
      </c>
      <c r="J207" s="1"/>
      <c r="K207" s="22"/>
      <c r="L207" s="98">
        <v>3</v>
      </c>
      <c r="M207" s="94">
        <f t="shared" ref="M207:M213" si="47">L207*I207</f>
        <v>101.9928571428571</v>
      </c>
      <c r="N207" s="13"/>
      <c r="O207" s="84">
        <v>3</v>
      </c>
      <c r="P207" s="94">
        <f t="shared" si="43"/>
        <v>101.9928571428571</v>
      </c>
      <c r="Q207" s="254">
        <f t="shared" si="44"/>
        <v>1</v>
      </c>
      <c r="R207" s="254">
        <f t="shared" si="45"/>
        <v>0.90615633590299849</v>
      </c>
    </row>
    <row r="208" spans="1:25" ht="15" customHeight="1" x14ac:dyDescent="0.2">
      <c r="E208" s="30">
        <v>4</v>
      </c>
      <c r="F208" s="249">
        <v>0.80456955790614271</v>
      </c>
      <c r="G208" s="122">
        <v>0.80402896728445039</v>
      </c>
      <c r="H208" s="35"/>
      <c r="I208" s="5">
        <f t="shared" si="46"/>
        <v>30.297857142857154</v>
      </c>
      <c r="J208" s="1"/>
      <c r="K208" s="22"/>
      <c r="L208" s="98">
        <v>4</v>
      </c>
      <c r="M208" s="94">
        <f t="shared" si="47"/>
        <v>121.19142857142862</v>
      </c>
      <c r="N208" s="13"/>
      <c r="O208" s="84">
        <v>4</v>
      </c>
      <c r="P208" s="94">
        <f t="shared" si="43"/>
        <v>121.19142857142862</v>
      </c>
      <c r="Q208" s="254">
        <f t="shared" si="44"/>
        <v>1</v>
      </c>
      <c r="R208" s="254">
        <f t="shared" si="45"/>
        <v>0.80402896728445039</v>
      </c>
    </row>
    <row r="209" spans="1:19" ht="15" customHeight="1" x14ac:dyDescent="0.2">
      <c r="B209" s="268" t="s">
        <v>132</v>
      </c>
      <c r="E209" s="30">
        <v>5</v>
      </c>
      <c r="F209" s="250">
        <v>0.73822296574629853</v>
      </c>
      <c r="G209" s="123">
        <v>0.74169033296192555</v>
      </c>
      <c r="H209" s="35"/>
      <c r="I209" s="5">
        <f t="shared" si="46"/>
        <v>27.799428571428574</v>
      </c>
      <c r="J209" s="1"/>
      <c r="K209" s="22"/>
      <c r="L209" s="97">
        <v>5</v>
      </c>
      <c r="M209" s="93">
        <f t="shared" si="47"/>
        <v>138.99714285714288</v>
      </c>
      <c r="N209" s="13"/>
      <c r="O209" s="84">
        <v>5</v>
      </c>
      <c r="P209" s="93">
        <f t="shared" si="43"/>
        <v>138.99714285714288</v>
      </c>
      <c r="Q209" s="254">
        <f t="shared" si="44"/>
        <v>1</v>
      </c>
      <c r="R209" s="254">
        <f t="shared" si="45"/>
        <v>0.74169033296192555</v>
      </c>
    </row>
    <row r="210" spans="1:19" ht="15" customHeight="1" x14ac:dyDescent="0.2">
      <c r="B210" s="42" t="s">
        <v>131</v>
      </c>
      <c r="E210" s="30">
        <v>10</v>
      </c>
      <c r="F210" s="249">
        <v>0.58443346951621578</v>
      </c>
      <c r="G210" s="122">
        <v>0.58549568266761132</v>
      </c>
      <c r="H210" s="35"/>
      <c r="I210" s="5">
        <f t="shared" si="46"/>
        <v>22.008142857142861</v>
      </c>
      <c r="J210" s="1"/>
      <c r="K210" s="22"/>
      <c r="L210" s="98">
        <v>10</v>
      </c>
      <c r="M210" s="94">
        <f t="shared" si="47"/>
        <v>220.0814285714286</v>
      </c>
      <c r="N210" s="13"/>
      <c r="O210" s="84">
        <v>10</v>
      </c>
      <c r="P210" s="94">
        <f t="shared" si="43"/>
        <v>220.0814285714286</v>
      </c>
      <c r="Q210" s="254">
        <f t="shared" si="44"/>
        <v>1</v>
      </c>
      <c r="R210" s="254">
        <f t="shared" si="45"/>
        <v>0.58549568266761132</v>
      </c>
    </row>
    <row r="211" spans="1:19" ht="15" customHeight="1" x14ac:dyDescent="0.2">
      <c r="E211" s="30">
        <v>20</v>
      </c>
      <c r="F211" s="249">
        <v>0.49052244607765777</v>
      </c>
      <c r="G211" s="122">
        <v>0.49131910594120443</v>
      </c>
      <c r="H211" s="35"/>
      <c r="I211" s="5">
        <f t="shared" si="46"/>
        <v>18.471714285714288</v>
      </c>
      <c r="J211" s="1"/>
      <c r="K211" s="22"/>
      <c r="L211" s="98">
        <v>20</v>
      </c>
      <c r="M211" s="94">
        <f t="shared" si="47"/>
        <v>369.43428571428575</v>
      </c>
      <c r="N211" s="13"/>
      <c r="O211" s="84">
        <v>20</v>
      </c>
      <c r="P211" s="94">
        <f t="shared" si="43"/>
        <v>369.43428571428575</v>
      </c>
      <c r="Q211" s="254">
        <f t="shared" si="44"/>
        <v>1</v>
      </c>
      <c r="R211" s="254">
        <f t="shared" si="45"/>
        <v>0.49131910594120443</v>
      </c>
    </row>
    <row r="212" spans="1:19" ht="15" customHeight="1" x14ac:dyDescent="0.2">
      <c r="E212" s="30">
        <v>30</v>
      </c>
      <c r="F212" s="249">
        <v>0.43426687885607124</v>
      </c>
      <c r="G212" s="122">
        <v>0.43391280780560598</v>
      </c>
      <c r="H212" s="35"/>
      <c r="I212" s="5">
        <f t="shared" si="46"/>
        <v>16.353285714285715</v>
      </c>
      <c r="J212" s="1"/>
      <c r="K212" s="22"/>
      <c r="L212" s="98">
        <v>30</v>
      </c>
      <c r="M212" s="94">
        <f>L212*I212</f>
        <v>490.59857142857146</v>
      </c>
      <c r="N212" s="13"/>
      <c r="O212" s="84">
        <v>30</v>
      </c>
      <c r="P212" s="94">
        <f t="shared" si="43"/>
        <v>490.5985714285714</v>
      </c>
      <c r="Q212" s="254">
        <f t="shared" si="44"/>
        <v>0.99999999999999989</v>
      </c>
      <c r="R212" s="254">
        <f t="shared" si="45"/>
        <v>0.43391280780560593</v>
      </c>
    </row>
    <row r="213" spans="1:19" ht="15" customHeight="1" x14ac:dyDescent="0.2">
      <c r="E213" s="30">
        <v>40</v>
      </c>
      <c r="F213" s="249">
        <v>0.39928212999118001</v>
      </c>
      <c r="G213" s="122">
        <v>0.3992821299911799</v>
      </c>
      <c r="H213" s="35"/>
      <c r="I213" s="5">
        <f t="shared" si="46"/>
        <v>15.035857142857141</v>
      </c>
      <c r="J213" s="1"/>
      <c r="K213" s="22"/>
      <c r="L213" s="98">
        <v>40</v>
      </c>
      <c r="M213" s="94">
        <f t="shared" si="47"/>
        <v>601.43428571428569</v>
      </c>
      <c r="N213" s="13"/>
      <c r="O213" s="84">
        <v>40</v>
      </c>
      <c r="P213" s="126">
        <f t="shared" si="43"/>
        <v>601.43428571428569</v>
      </c>
      <c r="Q213" s="254">
        <f t="shared" si="44"/>
        <v>1</v>
      </c>
      <c r="R213" s="254">
        <f t="shared" si="45"/>
        <v>0.3992821299911799</v>
      </c>
    </row>
    <row r="214" spans="1:19" ht="15" customHeight="1" x14ac:dyDescent="0.2">
      <c r="E214" s="30">
        <v>50</v>
      </c>
      <c r="F214" s="250">
        <v>0.37774499962295616</v>
      </c>
      <c r="G214" s="123">
        <v>0.37774499962295605</v>
      </c>
      <c r="H214" s="36"/>
      <c r="I214" s="23">
        <f t="shared" si="46"/>
        <v>14.224828571428572</v>
      </c>
      <c r="J214" s="24"/>
      <c r="K214" s="17"/>
      <c r="L214" s="99">
        <v>50</v>
      </c>
      <c r="M214" s="100">
        <f>L214*I214</f>
        <v>711.24142857142863</v>
      </c>
      <c r="N214" s="16"/>
      <c r="O214" s="107">
        <v>50</v>
      </c>
      <c r="P214" s="127">
        <f t="shared" si="43"/>
        <v>711.24142857142851</v>
      </c>
      <c r="Q214" s="254">
        <f t="shared" si="44"/>
        <v>0.99999999999999989</v>
      </c>
      <c r="R214" s="254">
        <f t="shared" si="45"/>
        <v>0.37774499962295599</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32.00714285714286</v>
      </c>
      <c r="G227" s="46">
        <f>F227/E227</f>
        <v>32.00714285714286</v>
      </c>
      <c r="H227" s="178">
        <f t="shared" ref="H227:H236" si="49">SQRT(12*32.2*G227^2/(4*$B$228*($B$227*56)*$B$226^2))</f>
        <v>0.84994007595467547</v>
      </c>
      <c r="I227" s="718"/>
      <c r="J227" s="178">
        <v>0.84994007595467547</v>
      </c>
      <c r="K227" s="544">
        <v>1</v>
      </c>
      <c r="L227" s="549">
        <f>J227*$L$225</f>
        <v>0.84994007595467547</v>
      </c>
      <c r="M227" s="5">
        <f>(B227*2.20462*25.4*12)</f>
        <v>3057.4552007999996</v>
      </c>
      <c r="N227" s="74">
        <f t="shared" ref="N227:N236" si="50">L227*B$226*SQRT(4*B$228*M$227/32.2)/12</f>
        <v>32.006384964751483</v>
      </c>
      <c r="O227" s="597">
        <f>K227*N227</f>
        <v>32.006384964751483</v>
      </c>
      <c r="P227" s="591">
        <f t="shared" ref="P227:P236" si="51">M157</f>
        <v>1.0210265565721937</v>
      </c>
      <c r="Q227" s="60">
        <f>P227*O227</f>
        <v>32.679369028884238</v>
      </c>
      <c r="R227" s="166">
        <f>Q227-O227</f>
        <v>0.67298406413275558</v>
      </c>
      <c r="S227" s="169">
        <f>R227/O227</f>
        <v>2.1026556572193659E-2</v>
      </c>
    </row>
    <row r="228" spans="2:19" ht="15" customHeight="1" x14ac:dyDescent="0.2">
      <c r="B228" s="271">
        <f t="shared" si="48"/>
        <v>85</v>
      </c>
      <c r="C228" s="77" t="s">
        <v>1</v>
      </c>
      <c r="D228" s="17"/>
      <c r="E228" s="70">
        <v>2</v>
      </c>
      <c r="F228" s="54">
        <f t="shared" ref="F228:F236" si="52">F186</f>
        <v>65.471428571428532</v>
      </c>
      <c r="G228" s="45">
        <f t="shared" ref="G228:G236" si="53">F228/E228</f>
        <v>32.735714285714266</v>
      </c>
      <c r="H228" s="179">
        <f t="shared" si="49"/>
        <v>0.86928707165817343</v>
      </c>
      <c r="I228" s="718"/>
      <c r="J228" s="179">
        <v>0.86928707165817343</v>
      </c>
      <c r="K228" s="545">
        <v>2</v>
      </c>
      <c r="L228" s="550">
        <f t="shared" ref="L228:L236" si="54">J228*$L$225</f>
        <v>0.86928707165817343</v>
      </c>
      <c r="N228" s="73">
        <f t="shared" si="50"/>
        <v>32.734939141588029</v>
      </c>
      <c r="O228" s="598">
        <f t="shared" ref="O228:O235" si="55">K228*N228</f>
        <v>65.469878283176058</v>
      </c>
      <c r="P228" s="591">
        <f t="shared" si="51"/>
        <v>1.0300130918612262</v>
      </c>
      <c r="Q228" s="59">
        <f t="shared" ref="Q228:Q236" si="56">P228*O228</f>
        <v>67.43483175423232</v>
      </c>
      <c r="R228" s="167">
        <f t="shared" ref="R228:R236" si="57">Q228-O228</f>
        <v>1.9649534710562619</v>
      </c>
      <c r="S228" s="170">
        <f t="shared" ref="S228:S236" si="58">R228/O228</f>
        <v>3.0013091861226211E-2</v>
      </c>
    </row>
    <row r="229" spans="2:19" ht="15" customHeight="1" x14ac:dyDescent="0.2">
      <c r="E229" s="69">
        <v>3</v>
      </c>
      <c r="F229" s="50">
        <f t="shared" si="52"/>
        <v>88.542857142857116</v>
      </c>
      <c r="G229" s="44">
        <f t="shared" si="53"/>
        <v>29.514285714285705</v>
      </c>
      <c r="H229" s="180">
        <f t="shared" si="49"/>
        <v>0.78374300242015571</v>
      </c>
      <c r="I229" s="718"/>
      <c r="J229" s="180">
        <v>0.78374300242015571</v>
      </c>
      <c r="K229" s="546">
        <v>3</v>
      </c>
      <c r="L229" s="551">
        <f t="shared" si="54"/>
        <v>0.78374300242015571</v>
      </c>
      <c r="N229" s="72">
        <f t="shared" si="50"/>
        <v>29.513586849889105</v>
      </c>
      <c r="O229" s="599">
        <f>K229*N229</f>
        <v>88.540760549667311</v>
      </c>
      <c r="P229" s="591">
        <f t="shared" si="51"/>
        <v>1.0389641819941917</v>
      </c>
      <c r="Q229" s="58">
        <f t="shared" si="56"/>
        <v>91.990678857628694</v>
      </c>
      <c r="R229" s="168">
        <f>Q229-O229</f>
        <v>3.4499183079613829</v>
      </c>
      <c r="S229" s="171">
        <f t="shared" si="58"/>
        <v>3.8964181994191667E-2</v>
      </c>
    </row>
    <row r="230" spans="2:19" ht="15" customHeight="1" x14ac:dyDescent="0.2">
      <c r="E230" s="69">
        <v>4</v>
      </c>
      <c r="F230" s="50">
        <f t="shared" si="52"/>
        <v>105.47142857142862</v>
      </c>
      <c r="G230" s="44">
        <f t="shared" si="53"/>
        <v>26.367857142857154</v>
      </c>
      <c r="H230" s="180">
        <f t="shared" si="49"/>
        <v>0.70019053568102785</v>
      </c>
      <c r="I230" s="718"/>
      <c r="J230" s="180">
        <v>0.70019053568102785</v>
      </c>
      <c r="K230" s="546">
        <v>4</v>
      </c>
      <c r="L230" s="551">
        <f t="shared" si="54"/>
        <v>0.70019053568102785</v>
      </c>
      <c r="N230" s="72">
        <f t="shared" si="50"/>
        <v>26.367232782276307</v>
      </c>
      <c r="O230" s="599">
        <f t="shared" si="55"/>
        <v>105.46893112910523</v>
      </c>
      <c r="P230" s="591">
        <f t="shared" si="51"/>
        <v>1.0485439523229041</v>
      </c>
      <c r="Q230" s="58">
        <f t="shared" si="56"/>
        <v>110.58880989338417</v>
      </c>
      <c r="R230" s="168">
        <f>Q230-O230</f>
        <v>5.119878764278937</v>
      </c>
      <c r="S230" s="171">
        <f t="shared" si="58"/>
        <v>4.8543952322904066E-2</v>
      </c>
    </row>
    <row r="231" spans="2:19" ht="15" customHeight="1" x14ac:dyDescent="0.2">
      <c r="E231" s="70">
        <v>5</v>
      </c>
      <c r="F231" s="54">
        <f t="shared" si="52"/>
        <v>120.5071428571429</v>
      </c>
      <c r="G231" s="45">
        <f t="shared" si="53"/>
        <v>24.101428571428578</v>
      </c>
      <c r="H231" s="179">
        <f t="shared" si="49"/>
        <v>0.64000620492887006</v>
      </c>
      <c r="I231" s="718"/>
      <c r="J231" s="179">
        <v>0.64000620492887006</v>
      </c>
      <c r="K231" s="545">
        <v>5</v>
      </c>
      <c r="L231" s="550">
        <f t="shared" si="54"/>
        <v>0.64000620492887006</v>
      </c>
      <c r="N231" s="73">
        <f t="shared" si="50"/>
        <v>24.100857877273935</v>
      </c>
      <c r="O231" s="598">
        <f t="shared" si="55"/>
        <v>120.50428938636968</v>
      </c>
      <c r="P231" s="591">
        <f t="shared" si="51"/>
        <v>1.0580048604113568</v>
      </c>
      <c r="Q231" s="59">
        <f t="shared" si="56"/>
        <v>127.4941238711958</v>
      </c>
      <c r="R231" s="167">
        <f t="shared" si="57"/>
        <v>6.9898344848261189</v>
      </c>
      <c r="S231" s="170">
        <f t="shared" si="58"/>
        <v>5.8004860411356808E-2</v>
      </c>
    </row>
    <row r="232" spans="2:19" ht="15" customHeight="1" x14ac:dyDescent="0.2">
      <c r="E232" s="69">
        <v>10</v>
      </c>
      <c r="F232" s="50">
        <f t="shared" si="52"/>
        <v>186.84142857142859</v>
      </c>
      <c r="G232" s="44">
        <f t="shared" si="53"/>
        <v>18.684142857142859</v>
      </c>
      <c r="H232" s="180">
        <f t="shared" si="49"/>
        <v>0.49615180805193509</v>
      </c>
      <c r="I232" s="718"/>
      <c r="J232" s="180">
        <v>0.49615180805193509</v>
      </c>
      <c r="K232" s="547">
        <v>10</v>
      </c>
      <c r="L232" s="551">
        <f t="shared" si="54"/>
        <v>0.49615180805193509</v>
      </c>
      <c r="M232" s="41"/>
      <c r="N232" s="76">
        <f t="shared" si="50"/>
        <v>18.683700438093648</v>
      </c>
      <c r="O232" s="600">
        <f t="shared" si="55"/>
        <v>186.83700438093649</v>
      </c>
      <c r="P232" s="591">
        <f t="shared" si="51"/>
        <v>1.1040454472470926</v>
      </c>
      <c r="Q232" s="58">
        <f t="shared" si="56"/>
        <v>206.27654406405804</v>
      </c>
      <c r="R232" s="168">
        <f t="shared" si="57"/>
        <v>19.439539683121552</v>
      </c>
      <c r="S232" s="171">
        <f t="shared" si="58"/>
        <v>0.10404544724709268</v>
      </c>
    </row>
    <row r="233" spans="2:19" ht="15" customHeight="1" x14ac:dyDescent="0.2">
      <c r="E233" s="69">
        <v>20</v>
      </c>
      <c r="F233" s="50">
        <f t="shared" si="52"/>
        <v>307.93428571428575</v>
      </c>
      <c r="G233" s="44">
        <f t="shared" si="53"/>
        <v>15.396714285714287</v>
      </c>
      <c r="H233" s="180">
        <f t="shared" si="49"/>
        <v>0.40885512861489431</v>
      </c>
      <c r="I233" s="718"/>
      <c r="J233" s="180">
        <v>0.40885512861489431</v>
      </c>
      <c r="K233" s="546">
        <v>20</v>
      </c>
      <c r="L233" s="551">
        <f t="shared" si="54"/>
        <v>0.40885512861489431</v>
      </c>
      <c r="N233" s="72">
        <f t="shared" si="50"/>
        <v>15.396349709198931</v>
      </c>
      <c r="O233" s="599">
        <f t="shared" si="55"/>
        <v>307.92699418397865</v>
      </c>
      <c r="P233" s="591">
        <f t="shared" si="51"/>
        <v>1.1500320105402821</v>
      </c>
      <c r="Q233" s="58">
        <f t="shared" si="56"/>
        <v>354.12590022102671</v>
      </c>
      <c r="R233" s="168">
        <f t="shared" si="57"/>
        <v>46.198906037048062</v>
      </c>
      <c r="S233" s="171">
        <f t="shared" si="58"/>
        <v>0.15003201054028206</v>
      </c>
    </row>
    <row r="234" spans="2:19" ht="15" customHeight="1" x14ac:dyDescent="0.2">
      <c r="E234" s="69">
        <v>30</v>
      </c>
      <c r="F234" s="50">
        <f t="shared" si="52"/>
        <v>412.44857142857143</v>
      </c>
      <c r="G234" s="44">
        <f t="shared" si="53"/>
        <v>13.748285714285714</v>
      </c>
      <c r="H234" s="180">
        <f t="shared" si="49"/>
        <v>0.36508160245358651</v>
      </c>
      <c r="I234" s="718"/>
      <c r="J234" s="180">
        <v>0.36508160245358651</v>
      </c>
      <c r="K234" s="546">
        <v>30</v>
      </c>
      <c r="L234" s="551">
        <f t="shared" si="54"/>
        <v>0.36508160245358651</v>
      </c>
      <c r="N234" s="72">
        <f t="shared" si="50"/>
        <v>13.747960170666161</v>
      </c>
      <c r="O234" s="599">
        <f t="shared" si="55"/>
        <v>412.43880511998486</v>
      </c>
      <c r="P234" s="591">
        <f t="shared" si="51"/>
        <v>1.149958090012954</v>
      </c>
      <c r="Q234" s="58">
        <f t="shared" si="56"/>
        <v>474.28734058300273</v>
      </c>
      <c r="R234" s="168">
        <f t="shared" si="57"/>
        <v>61.848535463017868</v>
      </c>
      <c r="S234" s="171">
        <f t="shared" si="58"/>
        <v>0.14995809001295396</v>
      </c>
    </row>
    <row r="235" spans="2:19" ht="15" customHeight="1" x14ac:dyDescent="0.2">
      <c r="E235" s="69">
        <v>40</v>
      </c>
      <c r="F235" s="50">
        <f t="shared" si="52"/>
        <v>507.93428571428569</v>
      </c>
      <c r="G235" s="44">
        <f t="shared" si="53"/>
        <v>12.698357142857143</v>
      </c>
      <c r="H235" s="180">
        <f t="shared" si="49"/>
        <v>0.33720106423341739</v>
      </c>
      <c r="I235" s="718"/>
      <c r="J235" s="180">
        <v>0.33720106423341739</v>
      </c>
      <c r="K235" s="546">
        <v>40</v>
      </c>
      <c r="L235" s="551">
        <f t="shared" si="54"/>
        <v>0.33720106423341739</v>
      </c>
      <c r="N235" s="72">
        <f t="shared" si="50"/>
        <v>12.698056460340602</v>
      </c>
      <c r="O235" s="599">
        <f t="shared" si="55"/>
        <v>507.92225841362409</v>
      </c>
      <c r="P235" s="591">
        <f t="shared" si="51"/>
        <v>1.1500194063349027</v>
      </c>
      <c r="Q235" s="58">
        <f t="shared" si="56"/>
        <v>584.12045408511904</v>
      </c>
      <c r="R235" s="168">
        <f t="shared" si="57"/>
        <v>76.198195671494943</v>
      </c>
      <c r="S235" s="171">
        <f t="shared" si="58"/>
        <v>0.15001940633490274</v>
      </c>
    </row>
    <row r="236" spans="2:19" ht="15" customHeight="1" thickBot="1" x14ac:dyDescent="0.25">
      <c r="E236" s="70">
        <v>50</v>
      </c>
      <c r="F236" s="54">
        <f t="shared" si="52"/>
        <v>601.94142857142856</v>
      </c>
      <c r="G236" s="45">
        <f t="shared" si="53"/>
        <v>12.038828571428571</v>
      </c>
      <c r="H236" s="179">
        <f t="shared" si="49"/>
        <v>0.31968748088746807</v>
      </c>
      <c r="I236" s="718"/>
      <c r="J236" s="179">
        <v>0.31968748088746807</v>
      </c>
      <c r="K236" s="555">
        <v>50</v>
      </c>
      <c r="L236" s="556">
        <f t="shared" si="54"/>
        <v>0.31968748088746807</v>
      </c>
      <c r="N236" s="557">
        <f t="shared" si="50"/>
        <v>12.038543505791315</v>
      </c>
      <c r="O236" s="601">
        <f>K236*N236</f>
        <v>601.92717528956575</v>
      </c>
      <c r="P236" s="592">
        <f t="shared" si="51"/>
        <v>1.1500145956298549</v>
      </c>
      <c r="Q236" s="59">
        <f t="shared" si="56"/>
        <v>692.22503708925069</v>
      </c>
      <c r="R236" s="167">
        <f t="shared" si="57"/>
        <v>90.297861799684938</v>
      </c>
      <c r="S236" s="170">
        <f t="shared" si="58"/>
        <v>0.15001459562985481</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0.67300000000000004</v>
      </c>
      <c r="S241" s="327">
        <f>R241/R227</f>
        <v>1.0000236794124762</v>
      </c>
    </row>
    <row r="242" spans="1:19" ht="15" customHeight="1" x14ac:dyDescent="0.2">
      <c r="E242" s="323"/>
      <c r="F242" s="324"/>
      <c r="G242" s="323"/>
      <c r="H242" s="325"/>
      <c r="I242" s="41"/>
      <c r="J242" s="325"/>
      <c r="K242" s="323"/>
      <c r="L242" s="325"/>
      <c r="M242" s="41"/>
      <c r="N242" s="324"/>
      <c r="O242" s="324"/>
      <c r="P242" s="326"/>
      <c r="Q242" s="324"/>
      <c r="R242" s="167">
        <f t="shared" si="59"/>
        <v>1.9650000000000001</v>
      </c>
      <c r="S242" s="327">
        <f t="shared" ref="S242:S250" si="60">R242/R228</f>
        <v>1.0000236794124764</v>
      </c>
    </row>
    <row r="243" spans="1:19" ht="15" customHeight="1" x14ac:dyDescent="0.2">
      <c r="R243" s="168">
        <f t="shared" si="59"/>
        <v>3.45</v>
      </c>
      <c r="S243" s="327">
        <f t="shared" si="60"/>
        <v>1.0000236794124744</v>
      </c>
    </row>
    <row r="244" spans="1:19" ht="15" customHeight="1" x14ac:dyDescent="0.2">
      <c r="R244" s="168">
        <f t="shared" si="59"/>
        <v>5.12</v>
      </c>
      <c r="S244" s="327">
        <f t="shared" si="60"/>
        <v>1.0000236794124715</v>
      </c>
    </row>
    <row r="245" spans="1:19" ht="15" customHeight="1" x14ac:dyDescent="0.2">
      <c r="R245" s="167">
        <f t="shared" si="59"/>
        <v>6.99</v>
      </c>
      <c r="S245" s="327">
        <f t="shared" si="60"/>
        <v>1.0000236794124726</v>
      </c>
    </row>
    <row r="246" spans="1:19" ht="15" customHeight="1" x14ac:dyDescent="0.2">
      <c r="R246" s="168">
        <f t="shared" si="59"/>
        <v>19.440000000000001</v>
      </c>
      <c r="S246" s="327">
        <f t="shared" si="60"/>
        <v>1.0000236794124733</v>
      </c>
    </row>
    <row r="247" spans="1:19" ht="15" customHeight="1" x14ac:dyDescent="0.2">
      <c r="F247" s="41"/>
      <c r="G247" s="41"/>
      <c r="H247" s="41"/>
      <c r="I247" s="41"/>
      <c r="J247" s="41"/>
      <c r="K247" s="41"/>
      <c r="L247" s="41"/>
      <c r="M247" s="41"/>
      <c r="N247" s="41"/>
      <c r="O247" s="41"/>
      <c r="P247" s="41"/>
      <c r="R247" s="168">
        <f t="shared" si="59"/>
        <v>46.2</v>
      </c>
      <c r="S247" s="327">
        <f t="shared" si="60"/>
        <v>1.0000236794124748</v>
      </c>
    </row>
    <row r="248" spans="1:19" ht="15" customHeight="1" x14ac:dyDescent="0.2">
      <c r="B248" s="90"/>
      <c r="R248" s="168">
        <f t="shared" si="59"/>
        <v>61.85</v>
      </c>
      <c r="S248" s="327">
        <f t="shared" si="60"/>
        <v>1.0000236794124739</v>
      </c>
    </row>
    <row r="249" spans="1:19" ht="15" customHeight="1" x14ac:dyDescent="0.2">
      <c r="A249" s="90" t="s">
        <v>95</v>
      </c>
      <c r="B249" s="64" t="s">
        <v>178</v>
      </c>
      <c r="R249" s="168">
        <f t="shared" si="59"/>
        <v>76.2</v>
      </c>
      <c r="S249" s="327">
        <f t="shared" si="60"/>
        <v>1.0000236794124737</v>
      </c>
    </row>
    <row r="250" spans="1:19" ht="15" customHeight="1" x14ac:dyDescent="0.2">
      <c r="R250" s="167">
        <f t="shared" si="59"/>
        <v>90.3</v>
      </c>
      <c r="S250" s="327">
        <f t="shared" si="60"/>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0.67300000000000004</v>
      </c>
      <c r="G257" s="49">
        <f>F257/E257</f>
        <v>0.67300000000000004</v>
      </c>
      <c r="H257" s="178">
        <f>SQRT(12*32.2*G257^2/(4*$B$258*($B$257*56)*$B$256^2))</f>
        <v>1.78713130900356E-2</v>
      </c>
      <c r="I257" s="718"/>
      <c r="J257" s="178">
        <v>1.78713130900356E-2</v>
      </c>
      <c r="K257" s="544">
        <v>1</v>
      </c>
      <c r="L257" s="549">
        <f>J257*$L$255</f>
        <v>1.78713130900356E-2</v>
      </c>
      <c r="M257" s="5">
        <f>(B257*2.20462*25.4*12)</f>
        <v>3057.4552007999996</v>
      </c>
      <c r="N257" s="74">
        <f>L257*B$256*SQRT(4*B$258*M$257/32.2)/12</f>
        <v>0.67298406413275724</v>
      </c>
      <c r="O257" s="218">
        <f>K257*N257</f>
        <v>0.67298406413275724</v>
      </c>
      <c r="Q257" s="218">
        <f t="shared" ref="Q257:Q266" si="61">E157</f>
        <v>0.67300000000000004</v>
      </c>
      <c r="R257" s="327">
        <f>Q257/O257</f>
        <v>1.0000236794124737</v>
      </c>
    </row>
    <row r="258" spans="2:18" ht="15" customHeight="1" x14ac:dyDescent="0.2">
      <c r="B258" s="271">
        <f>D207</f>
        <v>85</v>
      </c>
      <c r="C258" s="77" t="s">
        <v>1</v>
      </c>
      <c r="D258" s="17"/>
      <c r="E258" s="70">
        <v>2</v>
      </c>
      <c r="F258" s="167">
        <f t="shared" ref="F258:F266" si="62">G186</f>
        <v>1.9650000000000001</v>
      </c>
      <c r="G258" s="48">
        <f t="shared" ref="G258:G266" si="63">F258/E258</f>
        <v>0.98250000000000004</v>
      </c>
      <c r="H258" s="179">
        <f t="shared" ref="H258:H266" si="64">SQRT(12*32.2*G258^2/(4*$B$258*($B$257*56)*$B$256^2))</f>
        <v>2.608999273545316E-2</v>
      </c>
      <c r="I258" s="718"/>
      <c r="J258" s="179">
        <v>2.608999273545316E-2</v>
      </c>
      <c r="K258" s="545">
        <v>2</v>
      </c>
      <c r="L258" s="550">
        <f t="shared" ref="L258:L266" si="65">J258*$L$255</f>
        <v>2.608999273545316E-2</v>
      </c>
      <c r="N258" s="73">
        <f t="shared" ref="N258:N266" si="66">L258*B$256*SQRT(4*B$258*M$257/32.2)/12</f>
        <v>0.98247673552813364</v>
      </c>
      <c r="O258" s="219">
        <f t="shared" ref="O258" si="67">K258*N258</f>
        <v>1.9649534710562673</v>
      </c>
      <c r="Q258" s="219">
        <f t="shared" si="61"/>
        <v>1.9650000000000001</v>
      </c>
      <c r="R258" s="327">
        <f t="shared" ref="R258:R266" si="68">Q258/O258</f>
        <v>1.0000236794124737</v>
      </c>
    </row>
    <row r="259" spans="2:18" ht="15" customHeight="1" x14ac:dyDescent="0.2">
      <c r="E259" s="69">
        <v>3</v>
      </c>
      <c r="F259" s="168">
        <f t="shared" si="62"/>
        <v>3.45</v>
      </c>
      <c r="G259" s="47">
        <f t="shared" si="63"/>
        <v>1.1500000000000001</v>
      </c>
      <c r="H259" s="180">
        <f t="shared" si="64"/>
        <v>3.0537904982973166E-2</v>
      </c>
      <c r="I259" s="718"/>
      <c r="J259" s="180">
        <v>3.0537904982973166E-2</v>
      </c>
      <c r="K259" s="546">
        <v>3</v>
      </c>
      <c r="L259" s="551">
        <f t="shared" si="65"/>
        <v>3.0537904982973166E-2</v>
      </c>
      <c r="N259" s="72">
        <f t="shared" si="66"/>
        <v>1.1499727693204618</v>
      </c>
      <c r="O259" s="220">
        <f>K259*N259</f>
        <v>3.4499183079613855</v>
      </c>
      <c r="Q259" s="220">
        <f t="shared" si="61"/>
        <v>3.45</v>
      </c>
      <c r="R259" s="327">
        <f t="shared" si="68"/>
        <v>1.0000236794124737</v>
      </c>
    </row>
    <row r="260" spans="2:18" ht="15" customHeight="1" x14ac:dyDescent="0.2">
      <c r="E260" s="69">
        <v>4</v>
      </c>
      <c r="F260" s="168">
        <f t="shared" si="62"/>
        <v>5.12</v>
      </c>
      <c r="G260" s="47">
        <f t="shared" si="63"/>
        <v>1.28</v>
      </c>
      <c r="H260" s="180">
        <f t="shared" si="64"/>
        <v>3.3990015981048394E-2</v>
      </c>
      <c r="I260" s="718"/>
      <c r="J260" s="180">
        <v>3.3990015981048394E-2</v>
      </c>
      <c r="K260" s="546">
        <v>4</v>
      </c>
      <c r="L260" s="551">
        <f t="shared" si="65"/>
        <v>3.3990015981048394E-2</v>
      </c>
      <c r="N260" s="72">
        <f t="shared" si="66"/>
        <v>1.2799696910697314</v>
      </c>
      <c r="O260" s="220">
        <f t="shared" ref="O260:O266" si="69">K260*N260</f>
        <v>5.1198787642789254</v>
      </c>
      <c r="Q260" s="220">
        <f t="shared" si="61"/>
        <v>5.12</v>
      </c>
      <c r="R260" s="327">
        <f t="shared" si="68"/>
        <v>1.0000236794124737</v>
      </c>
    </row>
    <row r="261" spans="2:18" ht="15" customHeight="1" x14ac:dyDescent="0.2">
      <c r="E261" s="70">
        <v>5</v>
      </c>
      <c r="F261" s="167">
        <f t="shared" si="62"/>
        <v>6.99</v>
      </c>
      <c r="G261" s="48">
        <f t="shared" si="63"/>
        <v>1.3980000000000001</v>
      </c>
      <c r="H261" s="179">
        <f t="shared" si="64"/>
        <v>3.7123470579301293E-2</v>
      </c>
      <c r="I261" s="718"/>
      <c r="J261" s="179">
        <v>3.7123470579301293E-2</v>
      </c>
      <c r="K261" s="545">
        <v>5</v>
      </c>
      <c r="L261" s="550">
        <f t="shared" si="65"/>
        <v>3.7123470579301293E-2</v>
      </c>
      <c r="N261" s="73">
        <f t="shared" si="66"/>
        <v>1.3979668969652221</v>
      </c>
      <c r="O261" s="219">
        <f t="shared" si="69"/>
        <v>6.9898344848261109</v>
      </c>
      <c r="Q261" s="219">
        <f t="shared" si="61"/>
        <v>6.99</v>
      </c>
      <c r="R261" s="327">
        <f t="shared" si="68"/>
        <v>1.0000236794124737</v>
      </c>
    </row>
    <row r="262" spans="2:18" ht="15" customHeight="1" x14ac:dyDescent="0.2">
      <c r="E262" s="69">
        <v>10</v>
      </c>
      <c r="F262" s="168">
        <f t="shared" si="62"/>
        <v>19.440000000000001</v>
      </c>
      <c r="G262" s="47">
        <f t="shared" si="63"/>
        <v>1.9440000000000002</v>
      </c>
      <c r="H262" s="180">
        <f t="shared" si="64"/>
        <v>5.1622336771217248E-2</v>
      </c>
      <c r="I262" s="718"/>
      <c r="J262" s="180">
        <v>5.1622336771217248E-2</v>
      </c>
      <c r="K262" s="547">
        <v>10</v>
      </c>
      <c r="L262" s="551">
        <f t="shared" si="65"/>
        <v>5.1622336771217248E-2</v>
      </c>
      <c r="M262" s="41"/>
      <c r="N262" s="76">
        <f t="shared" si="66"/>
        <v>1.9439539683121545</v>
      </c>
      <c r="O262" s="221">
        <f t="shared" si="69"/>
        <v>19.439539683121545</v>
      </c>
      <c r="Q262" s="221">
        <f t="shared" si="61"/>
        <v>19.440000000000001</v>
      </c>
      <c r="R262" s="327">
        <f t="shared" si="68"/>
        <v>1.0000236794124737</v>
      </c>
    </row>
    <row r="263" spans="2:18" ht="15" customHeight="1" x14ac:dyDescent="0.2">
      <c r="E263" s="69">
        <v>20</v>
      </c>
      <c r="F263" s="168">
        <f t="shared" si="62"/>
        <v>46.2</v>
      </c>
      <c r="G263" s="47">
        <f t="shared" si="63"/>
        <v>2.31</v>
      </c>
      <c r="H263" s="180">
        <f t="shared" si="64"/>
        <v>6.1341356965798267E-2</v>
      </c>
      <c r="I263" s="718"/>
      <c r="J263" s="180">
        <v>6.1341356965798267E-2</v>
      </c>
      <c r="K263" s="546">
        <v>20</v>
      </c>
      <c r="L263" s="551">
        <f t="shared" si="65"/>
        <v>6.1341356965798267E-2</v>
      </c>
      <c r="N263" s="72">
        <f t="shared" si="66"/>
        <v>2.3099453018524057</v>
      </c>
      <c r="O263" s="220">
        <f t="shared" si="69"/>
        <v>46.198906037048111</v>
      </c>
      <c r="Q263" s="220">
        <f t="shared" si="61"/>
        <v>46.2</v>
      </c>
      <c r="R263" s="327">
        <f t="shared" si="68"/>
        <v>1.0000236794124739</v>
      </c>
    </row>
    <row r="264" spans="2:18" ht="15" customHeight="1" x14ac:dyDescent="0.2">
      <c r="E264" s="69">
        <v>30</v>
      </c>
      <c r="F264" s="168">
        <f t="shared" si="62"/>
        <v>61.85</v>
      </c>
      <c r="G264" s="47">
        <f t="shared" si="63"/>
        <v>2.0616666666666665</v>
      </c>
      <c r="H264" s="180">
        <f t="shared" si="64"/>
        <v>5.4746939802808404E-2</v>
      </c>
      <c r="I264" s="718"/>
      <c r="J264" s="180">
        <v>5.4746939802808404E-2</v>
      </c>
      <c r="K264" s="546">
        <v>30</v>
      </c>
      <c r="L264" s="551">
        <f t="shared" si="65"/>
        <v>5.4746939802808404E-2</v>
      </c>
      <c r="N264" s="72">
        <f t="shared" si="66"/>
        <v>2.0616178487672623</v>
      </c>
      <c r="O264" s="220">
        <f t="shared" si="69"/>
        <v>61.848535463017868</v>
      </c>
      <c r="Q264" s="220">
        <f t="shared" si="61"/>
        <v>61.85</v>
      </c>
      <c r="R264" s="327">
        <f t="shared" si="68"/>
        <v>1.0000236794124739</v>
      </c>
    </row>
    <row r="265" spans="2:18" ht="15" customHeight="1" x14ac:dyDescent="0.2">
      <c r="E265" s="69">
        <v>40</v>
      </c>
      <c r="F265" s="168">
        <f t="shared" si="62"/>
        <v>76.2</v>
      </c>
      <c r="G265" s="47">
        <f t="shared" si="63"/>
        <v>1.905</v>
      </c>
      <c r="H265" s="180">
        <f t="shared" si="64"/>
        <v>5.0586703471794676E-2</v>
      </c>
      <c r="I265" s="718"/>
      <c r="J265" s="180">
        <v>5.0586703471794676E-2</v>
      </c>
      <c r="K265" s="546">
        <v>40</v>
      </c>
      <c r="L265" s="551">
        <f t="shared" si="65"/>
        <v>5.0586703471794676E-2</v>
      </c>
      <c r="N265" s="72">
        <f t="shared" si="66"/>
        <v>1.9049548917873735</v>
      </c>
      <c r="O265" s="220">
        <f t="shared" si="69"/>
        <v>76.198195671494943</v>
      </c>
      <c r="Q265" s="220">
        <f t="shared" si="61"/>
        <v>76.2</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14" t="s">
        <v>695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41.180142857142854</v>
      </c>
      <c r="D288" s="162">
        <f t="shared" si="70"/>
        <v>112.18014285714285</v>
      </c>
      <c r="E288" s="162">
        <f t="shared" si="70"/>
        <v>32.680142857142862</v>
      </c>
      <c r="F288" s="162">
        <f>G288+J288</f>
        <v>35.807142857142857</v>
      </c>
      <c r="G288" s="162">
        <f t="shared" ref="G288:H297" si="71">F185</f>
        <v>32.00714285714286</v>
      </c>
      <c r="H288" s="887">
        <f t="shared" si="71"/>
        <v>0.67300000000000004</v>
      </c>
      <c r="I288" s="162">
        <f>M185</f>
        <v>75.7</v>
      </c>
      <c r="J288" s="162">
        <f t="shared" ref="J288:J297" si="72">L185</f>
        <v>3.8</v>
      </c>
      <c r="K288" s="886">
        <f>H288/G288</f>
        <v>2.1026556572193707E-2</v>
      </c>
      <c r="L288" s="889">
        <f t="shared" ref="L288:L297" si="73">F205</f>
        <v>1.0935522329800906</v>
      </c>
      <c r="M288" s="889">
        <f t="shared" ref="M288:M297" si="74">H227</f>
        <v>0.84994007595467547</v>
      </c>
      <c r="N288" s="889">
        <f t="shared" ref="N288:N297" si="75">H257</f>
        <v>1.78713130900356E-2</v>
      </c>
      <c r="O288" s="40"/>
      <c r="P288" s="920">
        <f>L288</f>
        <v>1.0935522329800906</v>
      </c>
    </row>
    <row r="289" spans="1:22" ht="15" customHeight="1" x14ac:dyDescent="0.2">
      <c r="A289" s="35"/>
      <c r="B289" s="449">
        <v>2</v>
      </c>
      <c r="C289" s="127">
        <f t="shared" si="70"/>
        <v>76.836428571428513</v>
      </c>
      <c r="D289" s="127">
        <f t="shared" si="70"/>
        <v>147.83642857142851</v>
      </c>
      <c r="E289" s="127">
        <f t="shared" si="70"/>
        <v>67.436428571428536</v>
      </c>
      <c r="F289" s="127">
        <f t="shared" ref="F289:F297" si="76">G289+J289</f>
        <v>70.571428571428527</v>
      </c>
      <c r="G289" s="127">
        <f t="shared" si="71"/>
        <v>65.471428571428532</v>
      </c>
      <c r="H289" s="460">
        <f t="shared" si="71"/>
        <v>1.9650000000000001</v>
      </c>
      <c r="I289" s="127">
        <f t="shared" ref="I289:I297" si="77">M186</f>
        <v>75.3</v>
      </c>
      <c r="J289" s="127">
        <f t="shared" si="72"/>
        <v>5.0999999999999996</v>
      </c>
      <c r="K289" s="885">
        <f t="shared" ref="K289:K297" si="78">H289/G289</f>
        <v>3.001309186122629E-2</v>
      </c>
      <c r="L289" s="585">
        <f t="shared" si="73"/>
        <v>1.0202083116854279</v>
      </c>
      <c r="M289" s="585">
        <f t="shared" si="74"/>
        <v>0.86928707165817343</v>
      </c>
      <c r="N289" s="585">
        <f t="shared" si="75"/>
        <v>2.608999273545316E-2</v>
      </c>
      <c r="O289" s="1"/>
      <c r="P289" s="469">
        <f t="shared" ref="P289:P297" si="79">L289</f>
        <v>1.0202083116854279</v>
      </c>
    </row>
    <row r="290" spans="1:22" ht="15" customHeight="1" x14ac:dyDescent="0.2">
      <c r="A290" s="35"/>
      <c r="B290" s="449">
        <v>3</v>
      </c>
      <c r="C290" s="463">
        <f t="shared" si="70"/>
        <v>101.9928571428571</v>
      </c>
      <c r="D290" s="463">
        <f t="shared" si="70"/>
        <v>172.9928571428571</v>
      </c>
      <c r="E290" s="463">
        <f t="shared" si="70"/>
        <v>91.992857142857119</v>
      </c>
      <c r="F290" s="463">
        <f t="shared" si="76"/>
        <v>94.742857142857119</v>
      </c>
      <c r="G290" s="463">
        <f t="shared" si="71"/>
        <v>88.542857142857116</v>
      </c>
      <c r="H290" s="464">
        <f t="shared" si="71"/>
        <v>3.45</v>
      </c>
      <c r="I290" s="463">
        <f t="shared" si="77"/>
        <v>74.8</v>
      </c>
      <c r="J290" s="463">
        <f t="shared" si="72"/>
        <v>6.2</v>
      </c>
      <c r="K290" s="886">
        <f t="shared" si="78"/>
        <v>3.8964181994191688E-2</v>
      </c>
      <c r="L290" s="586">
        <f t="shared" si="73"/>
        <v>0.90281795171289847</v>
      </c>
      <c r="M290" s="586">
        <f t="shared" si="74"/>
        <v>0.78374300242015571</v>
      </c>
      <c r="N290" s="586">
        <f t="shared" si="75"/>
        <v>3.0537904982973166E-2</v>
      </c>
      <c r="O290" s="1"/>
      <c r="P290" s="470">
        <f t="shared" si="79"/>
        <v>0.90281795171289847</v>
      </c>
    </row>
    <row r="291" spans="1:22" ht="15" customHeight="1" x14ac:dyDescent="0.2">
      <c r="A291" s="35"/>
      <c r="B291" s="449">
        <v>4</v>
      </c>
      <c r="C291" s="463">
        <f t="shared" si="70"/>
        <v>121.19142857142862</v>
      </c>
      <c r="D291" s="463">
        <f t="shared" si="70"/>
        <v>192.19142857142862</v>
      </c>
      <c r="E291" s="463">
        <f t="shared" si="70"/>
        <v>110.59142857142862</v>
      </c>
      <c r="F291" s="463">
        <f t="shared" si="76"/>
        <v>112.57142857142861</v>
      </c>
      <c r="G291" s="463">
        <f t="shared" si="71"/>
        <v>105.47142857142862</v>
      </c>
      <c r="H291" s="464">
        <f t="shared" si="71"/>
        <v>5.12</v>
      </c>
      <c r="I291" s="463">
        <f t="shared" si="77"/>
        <v>74.5</v>
      </c>
      <c r="J291" s="463">
        <f t="shared" si="72"/>
        <v>7.1</v>
      </c>
      <c r="K291" s="886">
        <f t="shared" si="78"/>
        <v>4.8543952322903948E-2</v>
      </c>
      <c r="L291" s="586">
        <f t="shared" si="73"/>
        <v>0.80456955790614271</v>
      </c>
      <c r="M291" s="586">
        <f t="shared" si="74"/>
        <v>0.70019053568102785</v>
      </c>
      <c r="N291" s="586">
        <f t="shared" si="75"/>
        <v>3.3990015981048394E-2</v>
      </c>
      <c r="O291" s="1"/>
      <c r="P291" s="470">
        <f t="shared" si="79"/>
        <v>0.80456955790614271</v>
      </c>
    </row>
    <row r="292" spans="1:22" ht="15" customHeight="1" x14ac:dyDescent="0.2">
      <c r="A292" s="35"/>
      <c r="B292" s="449">
        <v>5</v>
      </c>
      <c r="C292" s="127">
        <f t="shared" si="70"/>
        <v>138.99714285714288</v>
      </c>
      <c r="D292" s="127">
        <f t="shared" si="70"/>
        <v>209.99714285714288</v>
      </c>
      <c r="E292" s="127">
        <f t="shared" si="70"/>
        <v>127.49714285714289</v>
      </c>
      <c r="F292" s="127">
        <f t="shared" si="76"/>
        <v>128.5071428571429</v>
      </c>
      <c r="G292" s="127">
        <f t="shared" si="71"/>
        <v>120.5071428571429</v>
      </c>
      <c r="H292" s="460">
        <f t="shared" si="71"/>
        <v>6.99</v>
      </c>
      <c r="I292" s="127">
        <f t="shared" si="77"/>
        <v>74.5</v>
      </c>
      <c r="J292" s="127">
        <f t="shared" si="72"/>
        <v>8</v>
      </c>
      <c r="K292" s="885">
        <f t="shared" si="78"/>
        <v>5.8004860411356753E-2</v>
      </c>
      <c r="L292" s="585">
        <f t="shared" si="73"/>
        <v>0.73822296574629853</v>
      </c>
      <c r="M292" s="585">
        <f t="shared" si="74"/>
        <v>0.64000620492887006</v>
      </c>
      <c r="N292" s="585">
        <f t="shared" si="75"/>
        <v>3.7123470579301293E-2</v>
      </c>
      <c r="O292" s="1"/>
      <c r="P292" s="921">
        <f>L292</f>
        <v>0.73822296574629853</v>
      </c>
    </row>
    <row r="293" spans="1:22" ht="15" customHeight="1" x14ac:dyDescent="0.2">
      <c r="A293" s="35"/>
      <c r="B293" s="449">
        <v>10</v>
      </c>
      <c r="C293" s="463">
        <f t="shared" si="70"/>
        <v>220.0814285714286</v>
      </c>
      <c r="D293" s="463">
        <f t="shared" si="70"/>
        <v>291.0814285714286</v>
      </c>
      <c r="E293" s="463">
        <f t="shared" si="70"/>
        <v>206.28142857142859</v>
      </c>
      <c r="F293" s="463">
        <f t="shared" si="76"/>
        <v>197.04142857142858</v>
      </c>
      <c r="G293" s="463">
        <f t="shared" si="71"/>
        <v>186.84142857142859</v>
      </c>
      <c r="H293" s="464">
        <f t="shared" si="71"/>
        <v>19.440000000000001</v>
      </c>
      <c r="I293" s="463">
        <f t="shared" si="77"/>
        <v>74.599999999999994</v>
      </c>
      <c r="J293" s="463">
        <f t="shared" si="72"/>
        <v>10.199999999999999</v>
      </c>
      <c r="K293" s="886">
        <f t="shared" si="78"/>
        <v>0.10404544724709264</v>
      </c>
      <c r="L293" s="586">
        <f t="shared" si="73"/>
        <v>0.58443346951621578</v>
      </c>
      <c r="M293" s="586">
        <f t="shared" si="74"/>
        <v>0.49615180805193509</v>
      </c>
      <c r="N293" s="586">
        <f t="shared" si="75"/>
        <v>5.1622336771217248E-2</v>
      </c>
      <c r="O293" s="1"/>
      <c r="P293" s="470">
        <f t="shared" si="79"/>
        <v>0.58443346951621578</v>
      </c>
    </row>
    <row r="294" spans="1:22" ht="15" customHeight="1" x14ac:dyDescent="0.2">
      <c r="A294" s="35"/>
      <c r="B294" s="449">
        <v>20</v>
      </c>
      <c r="C294" s="463">
        <f t="shared" si="70"/>
        <v>369.43428571428575</v>
      </c>
      <c r="D294" s="463">
        <f t="shared" si="70"/>
        <v>440.43428571428575</v>
      </c>
      <c r="E294" s="463">
        <f t="shared" si="70"/>
        <v>354.13428571428574</v>
      </c>
      <c r="F294" s="463">
        <f t="shared" si="76"/>
        <v>319.73428571428576</v>
      </c>
      <c r="G294" s="463">
        <f t="shared" si="71"/>
        <v>307.93428571428575</v>
      </c>
      <c r="H294" s="464">
        <f t="shared" si="71"/>
        <v>46.2</v>
      </c>
      <c r="I294" s="463">
        <f t="shared" si="77"/>
        <v>74.5</v>
      </c>
      <c r="J294" s="463">
        <f t="shared" si="72"/>
        <v>11.8</v>
      </c>
      <c r="K294" s="886">
        <f t="shared" si="78"/>
        <v>0.15003201054028223</v>
      </c>
      <c r="L294" s="586">
        <f t="shared" si="73"/>
        <v>0.49052244607765777</v>
      </c>
      <c r="M294" s="586">
        <f t="shared" si="74"/>
        <v>0.40885512861489431</v>
      </c>
      <c r="N294" s="586">
        <f t="shared" si="75"/>
        <v>6.1341356965798267E-2</v>
      </c>
      <c r="O294" s="1"/>
      <c r="P294" s="470">
        <f t="shared" si="79"/>
        <v>0.49052244607765777</v>
      </c>
    </row>
    <row r="295" spans="1:22" ht="15" customHeight="1" x14ac:dyDescent="0.2">
      <c r="A295" s="35"/>
      <c r="B295" s="449">
        <v>30</v>
      </c>
      <c r="C295" s="463">
        <f t="shared" si="70"/>
        <v>490.5985714285714</v>
      </c>
      <c r="D295" s="463">
        <f t="shared" si="70"/>
        <v>561.5985714285714</v>
      </c>
      <c r="E295" s="463">
        <f t="shared" si="70"/>
        <v>474.29857142857145</v>
      </c>
      <c r="F295" s="463">
        <f t="shared" si="76"/>
        <v>424.8485714285714</v>
      </c>
      <c r="G295" s="463">
        <f t="shared" si="71"/>
        <v>412.44857142857143</v>
      </c>
      <c r="H295" s="464">
        <f t="shared" si="71"/>
        <v>61.85</v>
      </c>
      <c r="I295" s="463">
        <f t="shared" si="77"/>
        <v>74.900000000000006</v>
      </c>
      <c r="J295" s="463">
        <f t="shared" si="72"/>
        <v>12.4</v>
      </c>
      <c r="K295" s="886">
        <f t="shared" si="78"/>
        <v>0.14995809001295399</v>
      </c>
      <c r="L295" s="586">
        <f t="shared" si="73"/>
        <v>0.43426687885607124</v>
      </c>
      <c r="M295" s="586">
        <f t="shared" si="74"/>
        <v>0.36508160245358651</v>
      </c>
      <c r="N295" s="586">
        <f t="shared" si="75"/>
        <v>5.4746939802808404E-2</v>
      </c>
      <c r="O295" s="1"/>
      <c r="P295" s="470">
        <f t="shared" si="79"/>
        <v>0.43426687885607124</v>
      </c>
      <c r="R295" s="491" t="s">
        <v>531</v>
      </c>
    </row>
    <row r="296" spans="1:22" ht="15" customHeight="1" x14ac:dyDescent="0.2">
      <c r="A296" s="35"/>
      <c r="B296" s="449">
        <v>40</v>
      </c>
      <c r="C296" s="463">
        <f t="shared" si="70"/>
        <v>601.43428571428569</v>
      </c>
      <c r="D296" s="463">
        <f t="shared" si="70"/>
        <v>672.43428571428569</v>
      </c>
      <c r="E296" s="463">
        <f t="shared" si="70"/>
        <v>584.13428571428574</v>
      </c>
      <c r="F296" s="463">
        <f t="shared" si="76"/>
        <v>520.83428571428567</v>
      </c>
      <c r="G296" s="463">
        <f t="shared" si="71"/>
        <v>507.93428571428569</v>
      </c>
      <c r="H296" s="464">
        <f t="shared" si="71"/>
        <v>76.2</v>
      </c>
      <c r="I296" s="463">
        <f t="shared" si="77"/>
        <v>75.400000000000006</v>
      </c>
      <c r="J296" s="463">
        <f t="shared" si="72"/>
        <v>12.9</v>
      </c>
      <c r="K296" s="886">
        <f t="shared" si="78"/>
        <v>0.15001940633490274</v>
      </c>
      <c r="L296" s="586">
        <f t="shared" si="73"/>
        <v>0.39928212999118001</v>
      </c>
      <c r="M296" s="586">
        <f t="shared" si="74"/>
        <v>0.33720106423341739</v>
      </c>
      <c r="N296" s="586">
        <f t="shared" si="75"/>
        <v>5.0586703471794676E-2</v>
      </c>
      <c r="O296" s="1"/>
      <c r="P296" s="470">
        <f t="shared" si="79"/>
        <v>0.39928212999118001</v>
      </c>
      <c r="R296" s="491" t="s">
        <v>532</v>
      </c>
    </row>
    <row r="297" spans="1:22" ht="15" customHeight="1" x14ac:dyDescent="0.2">
      <c r="A297" s="35"/>
      <c r="B297" s="449">
        <v>50</v>
      </c>
      <c r="C297" s="127">
        <f t="shared" si="70"/>
        <v>711.24142857142851</v>
      </c>
      <c r="D297" s="127">
        <f t="shared" si="70"/>
        <v>782.24142857142851</v>
      </c>
      <c r="E297" s="127">
        <f t="shared" si="70"/>
        <v>692.24142857142851</v>
      </c>
      <c r="F297" s="127">
        <f t="shared" si="76"/>
        <v>615.34142857142854</v>
      </c>
      <c r="G297" s="127">
        <f t="shared" si="71"/>
        <v>601.94142857142856</v>
      </c>
      <c r="H297" s="460">
        <f t="shared" si="71"/>
        <v>90.3</v>
      </c>
      <c r="I297" s="127">
        <f t="shared" si="77"/>
        <v>76.599999999999994</v>
      </c>
      <c r="J297" s="127">
        <f t="shared" si="72"/>
        <v>13.4</v>
      </c>
      <c r="K297" s="885">
        <f t="shared" si="78"/>
        <v>0.15001459562985484</v>
      </c>
      <c r="L297" s="585">
        <f t="shared" si="73"/>
        <v>0.37774499962295616</v>
      </c>
      <c r="M297" s="585">
        <f t="shared" si="74"/>
        <v>0.31968748088746807</v>
      </c>
      <c r="N297" s="585">
        <f t="shared" si="75"/>
        <v>4.7957788173260463E-2</v>
      </c>
      <c r="O297" s="1"/>
      <c r="P297" s="921">
        <f t="shared" si="79"/>
        <v>0.37774499962295616</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703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3" t="s">
        <v>704</v>
      </c>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891"/>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891"/>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891"/>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5270E-58F5-4547-B88E-B1D08695313E}">
  <sheetPr transitionEvaluation="1" transitionEntry="1">
    <tabColor theme="5" tint="0.79998168889431442"/>
  </sheetPr>
  <dimension ref="A1:AD404"/>
  <sheetViews>
    <sheetView showGridLines="0" topLeftCell="A272" zoomScale="90" zoomScaleNormal="90" workbookViewId="0">
      <selection activeCell="I295" sqref="I295"/>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14" t="s">
        <v>695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141_77_37_g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28.6</v>
      </c>
      <c r="C108" s="106">
        <v>1</v>
      </c>
      <c r="D108" s="175">
        <v>29</v>
      </c>
      <c r="E108" s="38"/>
      <c r="F108" s="175">
        <v>35.299999999999997</v>
      </c>
    </row>
    <row r="109" spans="1:12" ht="15" customHeight="1" x14ac:dyDescent="0.2">
      <c r="B109" s="716">
        <v>66.2</v>
      </c>
      <c r="C109" s="106">
        <v>2</v>
      </c>
      <c r="D109" s="176">
        <v>66</v>
      </c>
      <c r="E109" s="605">
        <f>D109/D108</f>
        <v>2.2758620689655173</v>
      </c>
      <c r="F109" s="176">
        <v>64.2</v>
      </c>
    </row>
    <row r="110" spans="1:12" ht="15" customHeight="1" x14ac:dyDescent="0.2">
      <c r="B110" s="65">
        <v>88.7</v>
      </c>
      <c r="C110" s="106">
        <v>3</v>
      </c>
      <c r="D110" s="717">
        <v>88</v>
      </c>
      <c r="E110" s="605">
        <f t="shared" ref="E110:E112" si="9">D110/D109</f>
        <v>1.3333333333333333</v>
      </c>
      <c r="F110" s="717">
        <v>88.1</v>
      </c>
    </row>
    <row r="111" spans="1:12" ht="15" customHeight="1" x14ac:dyDescent="0.2">
      <c r="B111" s="65">
        <v>105.4</v>
      </c>
      <c r="C111" s="106">
        <v>4</v>
      </c>
      <c r="D111" s="717">
        <v>106</v>
      </c>
      <c r="E111" s="605">
        <f t="shared" si="9"/>
        <v>1.2045454545454546</v>
      </c>
      <c r="F111" s="717">
        <v>107.5</v>
      </c>
    </row>
    <row r="112" spans="1:12" ht="15" customHeight="1" x14ac:dyDescent="0.2">
      <c r="B112" s="716">
        <v>120.5</v>
      </c>
      <c r="C112" s="106">
        <v>5</v>
      </c>
      <c r="D112" s="176">
        <v>120.5</v>
      </c>
      <c r="E112" s="605">
        <f t="shared" si="9"/>
        <v>1.1367924528301887</v>
      </c>
      <c r="F112" s="176">
        <v>123.1</v>
      </c>
    </row>
    <row r="113" spans="1:8" ht="15" customHeight="1" x14ac:dyDescent="0.2">
      <c r="B113" s="65">
        <v>186.8</v>
      </c>
      <c r="C113" s="106">
        <v>10</v>
      </c>
      <c r="D113" s="177">
        <v>186.8</v>
      </c>
      <c r="E113" s="605">
        <f>(D113/D112)/5</f>
        <v>0.3100414937759336</v>
      </c>
      <c r="F113" s="177">
        <v>192.2</v>
      </c>
    </row>
    <row r="114" spans="1:8" ht="15" customHeight="1" x14ac:dyDescent="0.2">
      <c r="B114" s="65">
        <v>308.10000000000002</v>
      </c>
      <c r="C114" s="106">
        <v>20</v>
      </c>
      <c r="D114" s="177">
        <v>308.10000000000002</v>
      </c>
      <c r="E114" s="605">
        <f>(D114/D113)/10</f>
        <v>0.16493576017130623</v>
      </c>
      <c r="F114" s="177">
        <v>309.10000000000002</v>
      </c>
    </row>
    <row r="115" spans="1:8" ht="15" customHeight="1" x14ac:dyDescent="0.2">
      <c r="B115" s="65">
        <v>412.2</v>
      </c>
      <c r="C115" s="106">
        <v>30</v>
      </c>
      <c r="D115" s="177">
        <v>412.2</v>
      </c>
      <c r="E115" s="605">
        <f t="shared" ref="E115:E117" si="10">(D115/D114)/10</f>
        <v>0.13378773125608567</v>
      </c>
      <c r="F115" s="177">
        <v>413</v>
      </c>
    </row>
    <row r="116" spans="1:8" ht="15" customHeight="1" x14ac:dyDescent="0.2">
      <c r="B116" s="65">
        <v>508.1</v>
      </c>
      <c r="C116" s="106">
        <v>40</v>
      </c>
      <c r="D116" s="177">
        <v>508.1</v>
      </c>
      <c r="E116" s="605">
        <f t="shared" si="10"/>
        <v>0.1232654051431344</v>
      </c>
      <c r="F116" s="177">
        <v>508.6</v>
      </c>
    </row>
    <row r="117" spans="1:8" ht="15" customHeight="1" x14ac:dyDescent="0.2">
      <c r="B117" s="716">
        <v>601.9</v>
      </c>
      <c r="C117" s="106">
        <v>50</v>
      </c>
      <c r="D117" s="176">
        <v>601.9</v>
      </c>
      <c r="E117" s="605">
        <f t="shared" si="10"/>
        <v>0.11846093288722692</v>
      </c>
      <c r="F117" s="176">
        <v>600.70000000000005</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0.95833333333332005</v>
      </c>
      <c r="F126" s="408">
        <f>INDEX(LINEST(D$139:D$143,($C$139:$C$143)^{1,2,3}),1)</f>
        <v>1.2583333333333361E-3</v>
      </c>
      <c r="H126" t="s">
        <v>300</v>
      </c>
    </row>
    <row r="127" spans="1:8" ht="15" customHeight="1" x14ac:dyDescent="0.2">
      <c r="E127" s="409" cm="1">
        <f t="array" ref="E127">_xlfn.SINGLE(INDEX(LINEST(D$134:D$138,($C$134:$C$138)^{1,2,3}),2))</f>
        <v>-12.124999999999869</v>
      </c>
      <c r="F127" s="408">
        <f>INDEX(LINEST(D$139:D$143,($C$139:$C$143)^{1,2,3}),2)</f>
        <v>-0.15839285714285756</v>
      </c>
      <c r="H127" t="s">
        <v>301</v>
      </c>
    </row>
    <row r="128" spans="1:8" ht="15" customHeight="1" x14ac:dyDescent="0.2">
      <c r="E128" s="409">
        <f>INDEX(LINEST(D$134:D$138,($C$134:$C$138)^{1,2,3}),3)</f>
        <v>65.916666666666302</v>
      </c>
      <c r="F128" s="408">
        <f>INDEX(LINEST(D$139:D$143,($C$139:$C$143)^{1,2,3}),3)</f>
        <v>15.980238095238109</v>
      </c>
    </row>
    <row r="129" spans="1:11" ht="15" customHeight="1" x14ac:dyDescent="0.2">
      <c r="E129" s="409">
        <f>INDEX(LINEST(D$134:D$138,($C$134:$C$138)^{1,2,3}),4)</f>
        <v>-25.599999999999767</v>
      </c>
      <c r="F129" s="408">
        <f>INDEX(LINEST(D$139:D$143,($C$139:$C$143)^{1,2,3}),4)</f>
        <v>41.619999999999905</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29</v>
      </c>
      <c r="E134" s="114">
        <f>(E$126*($C134)^3)+(E$127*($C134)^2)+(E$128*($C134)^1)+(E$129)</f>
        <v>29.149999999999984</v>
      </c>
      <c r="F134" s="2"/>
      <c r="H134" s="106">
        <v>1</v>
      </c>
      <c r="I134" s="393">
        <f>E134</f>
        <v>29.149999999999984</v>
      </c>
      <c r="J134" s="109">
        <f>B108</f>
        <v>28.6</v>
      </c>
      <c r="K134" s="410">
        <f>I134-J134</f>
        <v>0.54999999999998295</v>
      </c>
    </row>
    <row r="135" spans="1:11" ht="15" customHeight="1" x14ac:dyDescent="0.2">
      <c r="C135" s="106">
        <v>2</v>
      </c>
      <c r="D135" s="110">
        <f t="shared" ref="D135:D143" si="11">D109</f>
        <v>66</v>
      </c>
      <c r="E135" s="114">
        <f>(E$126*($C135)^3)+(E$127*($C135)^2)+(E$128*($C135)^1)+(E$129)</f>
        <v>65.39999999999992</v>
      </c>
      <c r="F135" s="2"/>
      <c r="H135" s="106">
        <v>2</v>
      </c>
      <c r="I135" s="393">
        <f t="shared" ref="I135:I138" si="12">E135</f>
        <v>65.39999999999992</v>
      </c>
      <c r="J135" s="110">
        <f t="shared" ref="J135:J143" si="13">B109</f>
        <v>66.2</v>
      </c>
      <c r="K135" s="411">
        <f t="shared" ref="K135:K143" si="14">I135-J135</f>
        <v>-0.80000000000008242</v>
      </c>
    </row>
    <row r="136" spans="1:11" ht="15" customHeight="1" x14ac:dyDescent="0.2">
      <c r="B136" s="28" t="s">
        <v>308</v>
      </c>
      <c r="C136" s="106">
        <v>3</v>
      </c>
      <c r="D136" s="105">
        <f t="shared" si="11"/>
        <v>88</v>
      </c>
      <c r="E136" s="114">
        <f t="shared" ref="E136" si="15">(E$126*($C136)^3)+(E$127*($C136)^2)+(E$128*($C136)^1)+(E$129)</f>
        <v>88.899999999999977</v>
      </c>
      <c r="F136" s="2"/>
      <c r="H136" s="106">
        <v>3</v>
      </c>
      <c r="I136" s="393">
        <f t="shared" si="12"/>
        <v>88.899999999999977</v>
      </c>
      <c r="J136" s="105">
        <f t="shared" si="13"/>
        <v>88.7</v>
      </c>
      <c r="K136" s="412">
        <f t="shared" si="14"/>
        <v>0.19999999999997442</v>
      </c>
    </row>
    <row r="137" spans="1:11" ht="15" customHeight="1" x14ac:dyDescent="0.2">
      <c r="C137" s="106">
        <v>4</v>
      </c>
      <c r="D137" s="105">
        <f t="shared" si="11"/>
        <v>106</v>
      </c>
      <c r="E137" s="114">
        <f>(E$126*($C137)^3)+(E$127*($C137)^2)+(E$128*($C137)^1)+(E$129)</f>
        <v>105.40000000000003</v>
      </c>
      <c r="F137" s="2"/>
      <c r="H137" s="106">
        <v>4</v>
      </c>
      <c r="I137" s="393">
        <f t="shared" si="12"/>
        <v>105.40000000000003</v>
      </c>
      <c r="J137" s="105">
        <f t="shared" si="13"/>
        <v>105.4</v>
      </c>
      <c r="K137" s="412">
        <f t="shared" si="14"/>
        <v>0</v>
      </c>
    </row>
    <row r="138" spans="1:11" ht="15" customHeight="1" x14ac:dyDescent="0.2">
      <c r="C138" s="106">
        <v>5</v>
      </c>
      <c r="D138" s="110">
        <f t="shared" si="11"/>
        <v>120.5</v>
      </c>
      <c r="E138" s="114">
        <f>(E$126*($C138)^3)+(E$127*($C138)^2)+(E$128*($C138)^1)+(E$129)</f>
        <v>120.65000000000003</v>
      </c>
      <c r="F138" s="115"/>
      <c r="H138" s="106">
        <v>5</v>
      </c>
      <c r="I138" s="393">
        <f t="shared" si="12"/>
        <v>120.65000000000003</v>
      </c>
      <c r="J138" s="110">
        <f t="shared" si="13"/>
        <v>120.5</v>
      </c>
      <c r="K138" s="411">
        <f t="shared" si="14"/>
        <v>0.15000000000003411</v>
      </c>
    </row>
    <row r="139" spans="1:11" ht="15" customHeight="1" x14ac:dyDescent="0.2">
      <c r="C139" s="106">
        <v>10</v>
      </c>
      <c r="D139" s="105">
        <f t="shared" si="11"/>
        <v>186.8</v>
      </c>
      <c r="E139" s="114"/>
      <c r="F139" s="115">
        <f>(F$126*($C139)^3)+(F$127*($C139)^2)+(F$128*($C139)^1)+(F$129)</f>
        <v>186.84142857142859</v>
      </c>
      <c r="H139" s="106">
        <v>10</v>
      </c>
      <c r="I139" s="393">
        <f>F139</f>
        <v>186.84142857142859</v>
      </c>
      <c r="J139" s="105">
        <f t="shared" si="13"/>
        <v>186.8</v>
      </c>
      <c r="K139" s="412">
        <f t="shared" si="14"/>
        <v>4.1428571428582472E-2</v>
      </c>
    </row>
    <row r="140" spans="1:11" ht="15" customHeight="1" x14ac:dyDescent="0.2">
      <c r="C140" s="106">
        <v>20</v>
      </c>
      <c r="D140" s="105">
        <f t="shared" si="11"/>
        <v>308.10000000000002</v>
      </c>
      <c r="E140" s="2"/>
      <c r="F140" s="115">
        <f t="shared" ref="F140:F143" si="16">(F$126*($C140)^3)+(F$127*($C140)^2)+(F$128*($C140)^1)+(F$129)</f>
        <v>307.93428571428575</v>
      </c>
      <c r="H140" s="106">
        <v>20</v>
      </c>
      <c r="I140" s="393">
        <f t="shared" ref="I140:I143" si="17">F140</f>
        <v>307.93428571428575</v>
      </c>
      <c r="J140" s="105">
        <f t="shared" si="13"/>
        <v>308.10000000000002</v>
      </c>
      <c r="K140" s="412">
        <f t="shared" si="14"/>
        <v>-0.16571428571427305</v>
      </c>
    </row>
    <row r="141" spans="1:11" ht="15" customHeight="1" x14ac:dyDescent="0.2">
      <c r="B141" s="28" t="s">
        <v>297</v>
      </c>
      <c r="C141" s="106">
        <v>30</v>
      </c>
      <c r="D141" s="105">
        <f t="shared" si="11"/>
        <v>412.2</v>
      </c>
      <c r="E141" s="2"/>
      <c r="F141" s="115">
        <f t="shared" si="16"/>
        <v>412.44857142857143</v>
      </c>
      <c r="H141" s="106">
        <v>30</v>
      </c>
      <c r="I141" s="393">
        <f t="shared" si="17"/>
        <v>412.44857142857143</v>
      </c>
      <c r="J141" s="105">
        <f t="shared" si="13"/>
        <v>412.2</v>
      </c>
      <c r="K141" s="412">
        <f t="shared" si="14"/>
        <v>0.24857142857143799</v>
      </c>
    </row>
    <row r="142" spans="1:11" ht="15" customHeight="1" x14ac:dyDescent="0.2">
      <c r="C142" s="106">
        <v>40</v>
      </c>
      <c r="D142" s="105">
        <f t="shared" si="11"/>
        <v>508.1</v>
      </c>
      <c r="E142" s="2"/>
      <c r="F142" s="115">
        <f t="shared" si="16"/>
        <v>507.93428571428569</v>
      </c>
      <c r="H142" s="106">
        <v>40</v>
      </c>
      <c r="I142" s="393">
        <f t="shared" si="17"/>
        <v>507.93428571428569</v>
      </c>
      <c r="J142" s="105">
        <f t="shared" si="13"/>
        <v>508.1</v>
      </c>
      <c r="K142" s="412">
        <f t="shared" si="14"/>
        <v>-0.16571428571432989</v>
      </c>
    </row>
    <row r="143" spans="1:11" ht="15" customHeight="1" x14ac:dyDescent="0.2">
      <c r="C143" s="106">
        <v>50</v>
      </c>
      <c r="D143" s="110">
        <f t="shared" si="11"/>
        <v>601.9</v>
      </c>
      <c r="E143" s="2"/>
      <c r="F143" s="115">
        <f t="shared" si="16"/>
        <v>601.94142857142856</v>
      </c>
      <c r="H143" s="106">
        <v>50</v>
      </c>
      <c r="I143" s="394">
        <f t="shared" si="17"/>
        <v>601.94142857142856</v>
      </c>
      <c r="J143" s="110">
        <f t="shared" si="13"/>
        <v>601.9</v>
      </c>
      <c r="K143" s="411">
        <f t="shared" si="14"/>
        <v>4.1428571428582472E-2</v>
      </c>
    </row>
    <row r="144" spans="1:11" ht="15" customHeight="1" x14ac:dyDescent="0.2">
      <c r="I144" s="38"/>
    </row>
    <row r="145" spans="1:25" ht="15" customHeight="1" x14ac:dyDescent="0.2">
      <c r="D145" s="602">
        <f>D135/D134</f>
        <v>2.2758620689655173</v>
      </c>
      <c r="E145" s="603">
        <f>D138/D135</f>
        <v>1.8257575757575757</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J150" s="764" t="s">
        <v>490</v>
      </c>
      <c r="M150" t="s">
        <v>587</v>
      </c>
      <c r="O150" t="s">
        <v>625</v>
      </c>
      <c r="S150" t="s">
        <v>587</v>
      </c>
      <c r="U150" t="s">
        <v>624</v>
      </c>
    </row>
    <row r="151" spans="1:25" ht="15" customHeight="1" x14ac:dyDescent="0.2">
      <c r="A151" s="64"/>
      <c r="B151" s="56" t="s">
        <v>611</v>
      </c>
      <c r="M151" s="64" t="s">
        <v>580</v>
      </c>
    </row>
    <row r="152" spans="1:25" ht="15" customHeight="1" x14ac:dyDescent="0.2">
      <c r="I152" s="38"/>
      <c r="K152" s="251"/>
      <c r="L152" s="765" t="s">
        <v>623</v>
      </c>
      <c r="U152" s="844" t="s">
        <v>579</v>
      </c>
    </row>
    <row r="153" spans="1:25" ht="15" customHeight="1" x14ac:dyDescent="0.2">
      <c r="E153" t="s">
        <v>612</v>
      </c>
      <c r="G153" s="368"/>
      <c r="H153" s="369" t="s">
        <v>35</v>
      </c>
      <c r="I153" s="38"/>
      <c r="J153" s="727" t="s">
        <v>236</v>
      </c>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29.760999999999985</v>
      </c>
      <c r="D157" s="119">
        <f>I134</f>
        <v>29.149999999999984</v>
      </c>
      <c r="E157" s="118">
        <v>0.61099999999999999</v>
      </c>
      <c r="F157" s="152">
        <f>E157/D157</f>
        <v>2.0960548885077198E-2</v>
      </c>
      <c r="G157" s="374">
        <f t="shared" ref="G157:G166" si="18">G30</f>
        <v>0.9</v>
      </c>
      <c r="H157" s="375">
        <f>E157-G157</f>
        <v>-0.28900000000000003</v>
      </c>
      <c r="J157" s="917">
        <f>C59</f>
        <v>2.1000000000000001E-2</v>
      </c>
      <c r="K157" s="150">
        <f>J157-F157</f>
        <v>3.9451114922803288E-5</v>
      </c>
      <c r="M157" s="402">
        <f>C157/D157</f>
        <v>1.0209605488850773</v>
      </c>
      <c r="N157" s="143">
        <f>D157*M157</f>
        <v>29.760999999999985</v>
      </c>
      <c r="O157" s="287">
        <f t="shared" ref="O157:O166" si="19">N157-C157</f>
        <v>0</v>
      </c>
      <c r="P157" s="288">
        <f t="shared" ref="P157:P166" si="20">J157/F157</f>
        <v>1.0018821603927983</v>
      </c>
      <c r="Q157" s="289">
        <f t="shared" ref="Q157:Q166" si="21">P157*E157</f>
        <v>0.61214999999999975</v>
      </c>
      <c r="R157" s="267" t="s">
        <v>200</v>
      </c>
      <c r="U157" s="152">
        <f>E157/D157</f>
        <v>2.0960548885077198E-2</v>
      </c>
      <c r="Y157">
        <f>1.6/1.99</f>
        <v>0.8040201005025126</v>
      </c>
    </row>
    <row r="158" spans="1:25" ht="15" customHeight="1" x14ac:dyDescent="0.2">
      <c r="A158" s="118">
        <v>1.6</v>
      </c>
      <c r="B158" s="106">
        <v>2</v>
      </c>
      <c r="C158" s="120">
        <f t="shared" ref="C158:C166" si="22">D158+E158</f>
        <v>67.364999999999924</v>
      </c>
      <c r="D158" s="120">
        <f t="shared" ref="D158:D166" si="23">I135</f>
        <v>65.39999999999992</v>
      </c>
      <c r="E158" s="118">
        <v>1.9650000000000001</v>
      </c>
      <c r="F158" s="153">
        <f t="shared" ref="F158:F166" si="24">E158/D158</f>
        <v>3.0045871559633064E-2</v>
      </c>
      <c r="G158" s="376">
        <f t="shared" si="18"/>
        <v>1.6</v>
      </c>
      <c r="H158" s="377">
        <f t="shared" ref="H158:H166" si="25">E158-G158</f>
        <v>0.36499999999999999</v>
      </c>
      <c r="J158" s="402">
        <f t="shared" ref="J158:J166" si="26">C60</f>
        <v>0.03</v>
      </c>
      <c r="K158" s="150">
        <f t="shared" ref="K158:K165" si="27">J158-F158</f>
        <v>-4.5871559633064996E-5</v>
      </c>
      <c r="M158" s="402">
        <f t="shared" ref="M158:M166" si="28">C158/D158</f>
        <v>1.030045871559633</v>
      </c>
      <c r="N158" s="144">
        <f t="shared" ref="N158:N166" si="29">D158*M158</f>
        <v>67.364999999999924</v>
      </c>
      <c r="O158" s="287">
        <f t="shared" si="19"/>
        <v>0</v>
      </c>
      <c r="P158" s="288">
        <f t="shared" si="20"/>
        <v>0.9984732824427468</v>
      </c>
      <c r="Q158" s="290">
        <f t="shared" si="21"/>
        <v>1.9619999999999975</v>
      </c>
      <c r="R158" s="267" t="s">
        <v>312</v>
      </c>
      <c r="U158" s="152">
        <f t="shared" ref="U158:U166" si="30">E158/D158</f>
        <v>3.0045871559633064E-2</v>
      </c>
    </row>
    <row r="159" spans="1:25" ht="15" customHeight="1" x14ac:dyDescent="0.2">
      <c r="A159" s="118">
        <v>2.6</v>
      </c>
      <c r="B159" s="106">
        <v>3</v>
      </c>
      <c r="C159" s="121">
        <f t="shared" si="22"/>
        <v>92.369999999999976</v>
      </c>
      <c r="D159" s="121">
        <f t="shared" si="23"/>
        <v>88.899999999999977</v>
      </c>
      <c r="E159" s="118">
        <v>3.47</v>
      </c>
      <c r="F159" s="154">
        <f t="shared" si="24"/>
        <v>3.9032620922384714E-2</v>
      </c>
      <c r="G159" s="378">
        <f t="shared" si="18"/>
        <v>2.6</v>
      </c>
      <c r="H159" s="379">
        <f t="shared" si="25"/>
        <v>0.87000000000000011</v>
      </c>
      <c r="J159" s="402">
        <f t="shared" si="26"/>
        <v>3.9E-2</v>
      </c>
      <c r="K159" s="150">
        <f t="shared" si="27"/>
        <v>-3.2620922384714313E-5</v>
      </c>
      <c r="M159" s="402">
        <f t="shared" si="28"/>
        <v>1.0390326209223848</v>
      </c>
      <c r="N159" s="145">
        <f t="shared" si="29"/>
        <v>92.36999999999999</v>
      </c>
      <c r="O159" s="287">
        <f t="shared" si="19"/>
        <v>0</v>
      </c>
      <c r="P159" s="288">
        <f t="shared" si="20"/>
        <v>0.9991642651296827</v>
      </c>
      <c r="Q159" s="288">
        <f t="shared" si="21"/>
        <v>3.467099999999999</v>
      </c>
      <c r="R159" s="267" t="s">
        <v>143</v>
      </c>
      <c r="U159" s="152">
        <f t="shared" si="30"/>
        <v>3.9032620922384714E-2</v>
      </c>
    </row>
    <row r="160" spans="1:25" ht="15" customHeight="1" x14ac:dyDescent="0.2">
      <c r="A160" s="118">
        <v>3.8</v>
      </c>
      <c r="B160" s="106">
        <v>4</v>
      </c>
      <c r="C160" s="121">
        <f t="shared" si="22"/>
        <v>110.51000000000003</v>
      </c>
      <c r="D160" s="121">
        <f t="shared" si="23"/>
        <v>105.40000000000003</v>
      </c>
      <c r="E160" s="118">
        <v>5.1100000000000003</v>
      </c>
      <c r="F160" s="154">
        <f t="shared" si="24"/>
        <v>4.8481973434535093E-2</v>
      </c>
      <c r="G160" s="378">
        <f t="shared" si="18"/>
        <v>3.8</v>
      </c>
      <c r="H160" s="379">
        <f t="shared" si="25"/>
        <v>1.3100000000000005</v>
      </c>
      <c r="J160" s="402">
        <f t="shared" si="26"/>
        <v>4.8499999999999995E-2</v>
      </c>
      <c r="K160" s="150">
        <f t="shared" si="27"/>
        <v>1.8026565464901445E-5</v>
      </c>
      <c r="M160" s="402">
        <f t="shared" si="28"/>
        <v>1.048481973434535</v>
      </c>
      <c r="N160" s="145">
        <f t="shared" si="29"/>
        <v>110.51000000000002</v>
      </c>
      <c r="O160" s="287">
        <f t="shared" si="19"/>
        <v>0</v>
      </c>
      <c r="P160" s="288">
        <f t="shared" si="20"/>
        <v>1.0003718199608611</v>
      </c>
      <c r="Q160" s="288">
        <f t="shared" si="21"/>
        <v>5.1119000000000003</v>
      </c>
      <c r="R160" s="88" t="s">
        <v>142</v>
      </c>
      <c r="U160" s="152">
        <f t="shared" si="30"/>
        <v>4.8481973434535093E-2</v>
      </c>
    </row>
    <row r="161" spans="1:25" ht="15" customHeight="1" x14ac:dyDescent="0.2">
      <c r="A161" s="118">
        <v>5.0999999999999996</v>
      </c>
      <c r="B161" s="106">
        <v>5</v>
      </c>
      <c r="C161" s="120">
        <f t="shared" si="22"/>
        <v>127.65000000000003</v>
      </c>
      <c r="D161" s="120">
        <f t="shared" si="23"/>
        <v>120.65000000000003</v>
      </c>
      <c r="E161" s="118">
        <v>7</v>
      </c>
      <c r="F161" s="153">
        <f t="shared" si="24"/>
        <v>5.8019063406547847E-2</v>
      </c>
      <c r="G161" s="376">
        <f t="shared" si="18"/>
        <v>5.0999999999999996</v>
      </c>
      <c r="H161" s="377">
        <f t="shared" si="25"/>
        <v>1.9000000000000004</v>
      </c>
      <c r="J161" s="402">
        <f t="shared" si="26"/>
        <v>5.7999999999999996E-2</v>
      </c>
      <c r="K161" s="150">
        <f t="shared" si="27"/>
        <v>-1.9063406547850659E-5</v>
      </c>
      <c r="M161" s="402">
        <f t="shared" si="28"/>
        <v>1.0580190634065478</v>
      </c>
      <c r="N161" s="144">
        <f t="shared" si="29"/>
        <v>127.65000000000003</v>
      </c>
      <c r="O161" s="287">
        <f t="shared" si="19"/>
        <v>0</v>
      </c>
      <c r="P161" s="288">
        <f t="shared" si="20"/>
        <v>0.99967142857142888</v>
      </c>
      <c r="Q161" s="290">
        <f t="shared" si="21"/>
        <v>6.9977000000000018</v>
      </c>
      <c r="U161" s="152">
        <f t="shared" si="30"/>
        <v>5.8019063406547847E-2</v>
      </c>
      <c r="Y161">
        <f>0.9/0.75</f>
        <v>1.2</v>
      </c>
    </row>
    <row r="162" spans="1:25" ht="15" customHeight="1" x14ac:dyDescent="0.2">
      <c r="A162" s="118">
        <v>15.1</v>
      </c>
      <c r="B162" s="106">
        <v>10</v>
      </c>
      <c r="C162" s="121">
        <f t="shared" si="22"/>
        <v>206.28142857142859</v>
      </c>
      <c r="D162" s="121">
        <f t="shared" si="23"/>
        <v>186.84142857142859</v>
      </c>
      <c r="E162" s="118">
        <v>19.440000000000001</v>
      </c>
      <c r="F162" s="154">
        <f t="shared" si="24"/>
        <v>0.10404544724709264</v>
      </c>
      <c r="G162" s="378">
        <f t="shared" si="18"/>
        <v>15.1</v>
      </c>
      <c r="H162" s="379">
        <f t="shared" si="25"/>
        <v>4.3400000000000016</v>
      </c>
      <c r="J162" s="402">
        <f t="shared" si="26"/>
        <v>0.10400000000000001</v>
      </c>
      <c r="K162" s="150">
        <f t="shared" si="27"/>
        <v>-4.5447247092628151E-5</v>
      </c>
      <c r="M162" s="402">
        <f t="shared" si="28"/>
        <v>1.1040454472470926</v>
      </c>
      <c r="N162" s="145">
        <f t="shared" si="29"/>
        <v>206.28142857142859</v>
      </c>
      <c r="O162" s="287">
        <f t="shared" si="19"/>
        <v>0</v>
      </c>
      <c r="P162" s="288">
        <f t="shared" si="20"/>
        <v>0.99956319811875383</v>
      </c>
      <c r="Q162" s="288">
        <f t="shared" si="21"/>
        <v>19.431508571428576</v>
      </c>
      <c r="U162" s="152">
        <f t="shared" si="30"/>
        <v>0.10404544724709264</v>
      </c>
    </row>
    <row r="163" spans="1:25" ht="15" customHeight="1" x14ac:dyDescent="0.2">
      <c r="A163" s="118">
        <v>44</v>
      </c>
      <c r="B163" s="106">
        <v>20</v>
      </c>
      <c r="C163" s="121">
        <f t="shared" si="22"/>
        <v>354.13428571428574</v>
      </c>
      <c r="D163" s="121">
        <f t="shared" si="23"/>
        <v>307.93428571428575</v>
      </c>
      <c r="E163" s="118">
        <v>46.2</v>
      </c>
      <c r="F163" s="154">
        <f t="shared" si="24"/>
        <v>0.15003201054028223</v>
      </c>
      <c r="G163" s="378">
        <f t="shared" si="18"/>
        <v>44</v>
      </c>
      <c r="H163" s="379">
        <f t="shared" si="25"/>
        <v>2.2000000000000028</v>
      </c>
      <c r="J163" s="402">
        <f t="shared" si="26"/>
        <v>0.15</v>
      </c>
      <c r="K163" s="150">
        <f t="shared" si="27"/>
        <v>-3.2010540282234601E-5</v>
      </c>
      <c r="M163" s="402">
        <f t="shared" si="28"/>
        <v>1.1500320105402821</v>
      </c>
      <c r="N163" s="145">
        <f t="shared" si="29"/>
        <v>354.13428571428574</v>
      </c>
      <c r="O163" s="287">
        <f t="shared" si="19"/>
        <v>0</v>
      </c>
      <c r="P163" s="288">
        <f t="shared" si="20"/>
        <v>0.99978664192949918</v>
      </c>
      <c r="Q163" s="288">
        <f t="shared" si="21"/>
        <v>46.190142857142867</v>
      </c>
      <c r="U163" s="152">
        <f t="shared" si="30"/>
        <v>0.15003201054028223</v>
      </c>
    </row>
    <row r="164" spans="1:25" ht="15" customHeight="1" x14ac:dyDescent="0.2">
      <c r="A164" s="118">
        <v>63.1</v>
      </c>
      <c r="B164" s="106">
        <v>30</v>
      </c>
      <c r="C164" s="121">
        <f>D164+E164</f>
        <v>474.29857142857145</v>
      </c>
      <c r="D164" s="121">
        <f t="shared" si="23"/>
        <v>412.44857142857143</v>
      </c>
      <c r="E164" s="118">
        <v>61.85</v>
      </c>
      <c r="F164" s="154">
        <f t="shared" si="24"/>
        <v>0.14995809001295399</v>
      </c>
      <c r="G164" s="378">
        <f t="shared" si="18"/>
        <v>63.1</v>
      </c>
      <c r="H164" s="379">
        <f t="shared" si="25"/>
        <v>-1.25</v>
      </c>
      <c r="J164" s="402">
        <f t="shared" si="26"/>
        <v>0.15</v>
      </c>
      <c r="K164" s="150">
        <f t="shared" si="27"/>
        <v>4.1909987046007124E-5</v>
      </c>
      <c r="M164" s="402">
        <f t="shared" si="28"/>
        <v>1.149958090012954</v>
      </c>
      <c r="N164" s="145">
        <f t="shared" si="29"/>
        <v>474.29857142857145</v>
      </c>
      <c r="O164" s="287">
        <f t="shared" si="19"/>
        <v>0</v>
      </c>
      <c r="P164" s="288">
        <f t="shared" si="20"/>
        <v>1.000279477999769</v>
      </c>
      <c r="Q164" s="288">
        <f t="shared" si="21"/>
        <v>61.867285714285714</v>
      </c>
      <c r="U164" s="152">
        <f t="shared" si="30"/>
        <v>0.14995809001295399</v>
      </c>
    </row>
    <row r="165" spans="1:25" ht="15" customHeight="1" x14ac:dyDescent="0.2">
      <c r="A165" s="118">
        <v>78.8</v>
      </c>
      <c r="B165" s="106">
        <v>40</v>
      </c>
      <c r="C165" s="121">
        <f t="shared" si="22"/>
        <v>584.13428571428574</v>
      </c>
      <c r="D165" s="121">
        <f t="shared" si="23"/>
        <v>507.93428571428569</v>
      </c>
      <c r="E165" s="118">
        <v>76.2</v>
      </c>
      <c r="F165" s="154">
        <f t="shared" si="24"/>
        <v>0.15001940633490274</v>
      </c>
      <c r="G165" s="378">
        <f t="shared" si="18"/>
        <v>78.8</v>
      </c>
      <c r="H165" s="379">
        <f t="shared" si="25"/>
        <v>-2.5999999999999943</v>
      </c>
      <c r="J165" s="402">
        <f t="shared" si="26"/>
        <v>0.15</v>
      </c>
      <c r="K165" s="150">
        <f t="shared" si="27"/>
        <v>-1.9406334902744016E-5</v>
      </c>
      <c r="M165" s="402">
        <f t="shared" si="28"/>
        <v>1.1500194063349027</v>
      </c>
      <c r="N165" s="145">
        <f t="shared" si="29"/>
        <v>584.13428571428574</v>
      </c>
      <c r="O165" s="287">
        <f t="shared" si="19"/>
        <v>0</v>
      </c>
      <c r="P165" s="288">
        <f t="shared" si="20"/>
        <v>0.99987064116985358</v>
      </c>
      <c r="Q165" s="288">
        <f t="shared" si="21"/>
        <v>76.190142857142845</v>
      </c>
      <c r="U165" s="152">
        <f t="shared" si="30"/>
        <v>0.15001940633490274</v>
      </c>
    </row>
    <row r="166" spans="1:25" ht="15" customHeight="1" x14ac:dyDescent="0.2">
      <c r="A166" s="118">
        <v>93.8</v>
      </c>
      <c r="B166" s="106">
        <v>50</v>
      </c>
      <c r="C166" s="120">
        <f t="shared" si="22"/>
        <v>692.24142857142851</v>
      </c>
      <c r="D166" s="120">
        <f t="shared" si="23"/>
        <v>601.94142857142856</v>
      </c>
      <c r="E166" s="118">
        <v>90.3</v>
      </c>
      <c r="F166" s="153">
        <f t="shared" si="24"/>
        <v>0.15001459562985484</v>
      </c>
      <c r="G166" s="380">
        <f t="shared" si="18"/>
        <v>93.8</v>
      </c>
      <c r="H166" s="381">
        <f t="shared" si="25"/>
        <v>-3.5</v>
      </c>
      <c r="J166" s="403">
        <f t="shared" si="26"/>
        <v>0.15</v>
      </c>
      <c r="K166" s="151">
        <f>J166-F166</f>
        <v>-1.4595629854841086E-5</v>
      </c>
      <c r="M166" s="403">
        <f t="shared" si="28"/>
        <v>1.1500145956298549</v>
      </c>
      <c r="N166" s="146">
        <f t="shared" si="29"/>
        <v>692.24142857142863</v>
      </c>
      <c r="O166" s="287">
        <f t="shared" si="19"/>
        <v>0</v>
      </c>
      <c r="P166" s="288">
        <f t="shared" si="20"/>
        <v>0.99990270526815372</v>
      </c>
      <c r="Q166" s="290">
        <f t="shared" si="21"/>
        <v>90.291214285714275</v>
      </c>
      <c r="U166" s="152">
        <f t="shared" si="30"/>
        <v>0.15001459562985484</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8" customHeight="1" x14ac:dyDescent="0.3">
      <c r="A174" s="90"/>
      <c r="B174" s="28" t="s">
        <v>191</v>
      </c>
      <c r="I174" s="915" t="s">
        <v>696</v>
      </c>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5">
      <c r="D180" s="214" t="s">
        <v>163</v>
      </c>
      <c r="I180" s="38"/>
      <c r="M180" s="916" t="s">
        <v>34</v>
      </c>
      <c r="P180" s="804" t="s">
        <v>540</v>
      </c>
    </row>
    <row r="181" spans="2:26" ht="15" customHeight="1" x14ac:dyDescent="0.25">
      <c r="C181" s="27" t="s">
        <v>457</v>
      </c>
      <c r="F181" s="38"/>
      <c r="G181" s="38"/>
      <c r="H181" s="38"/>
      <c r="I181" s="38"/>
      <c r="J181" s="359" t="s">
        <v>269</v>
      </c>
      <c r="K181" s="214"/>
      <c r="L181" s="916" t="s">
        <v>34</v>
      </c>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6" ht="15" customHeight="1" x14ac:dyDescent="0.2">
      <c r="B185" s="106">
        <v>1</v>
      </c>
      <c r="C185" s="119">
        <f>(D185-J185)</f>
        <v>38.260999999999981</v>
      </c>
      <c r="D185" s="698">
        <f>(F185+G185+M185+L185)+$E$179</f>
        <v>109.26099999999998</v>
      </c>
      <c r="E185" s="119">
        <f>F185+G185</f>
        <v>29.760999999999985</v>
      </c>
      <c r="F185" s="119">
        <f t="shared" ref="F185:G194" si="31">D157</f>
        <v>29.149999999999984</v>
      </c>
      <c r="G185" s="175">
        <f t="shared" si="31"/>
        <v>0.61099999999999999</v>
      </c>
      <c r="H185" s="155">
        <f>G185/F185</f>
        <v>2.0960548885077198E-2</v>
      </c>
      <c r="I185" s="119">
        <f>O185</f>
        <v>75.7</v>
      </c>
      <c r="J185" s="694">
        <v>71</v>
      </c>
      <c r="K185" s="690">
        <v>4</v>
      </c>
      <c r="L185" s="507">
        <f>P185</f>
        <v>3.8</v>
      </c>
      <c r="M185" s="497">
        <f>O185</f>
        <v>75.7</v>
      </c>
      <c r="N185" t="s">
        <v>34</v>
      </c>
      <c r="O185" s="417">
        <v>75.7</v>
      </c>
      <c r="P185" s="417">
        <v>3.8</v>
      </c>
      <c r="Q185" s="422">
        <v>109</v>
      </c>
      <c r="R185" s="432">
        <f>D185-Q185</f>
        <v>0.26099999999998147</v>
      </c>
      <c r="S185" s="433">
        <f t="shared" ref="S185:S194" si="32">G185-G30</f>
        <v>-0.28900000000000003</v>
      </c>
      <c r="T185" s="420">
        <v>13.9</v>
      </c>
      <c r="W185">
        <v>42</v>
      </c>
      <c r="X185">
        <v>37</v>
      </c>
    </row>
    <row r="186" spans="2:26" ht="15" customHeight="1" x14ac:dyDescent="0.2">
      <c r="B186" s="106">
        <v>2</v>
      </c>
      <c r="C186" s="120">
        <f t="shared" ref="C186:C193" si="33">(D186-J186)</f>
        <v>76.764999999999901</v>
      </c>
      <c r="D186" s="699">
        <f t="shared" ref="D186:D193" si="34">(F186+G186+M186+L186)+$E$179</f>
        <v>147.7649999999999</v>
      </c>
      <c r="E186" s="120">
        <f t="shared" ref="E186:E191" si="35">F186+G186</f>
        <v>67.364999999999924</v>
      </c>
      <c r="F186" s="120">
        <f t="shared" si="31"/>
        <v>65.39999999999992</v>
      </c>
      <c r="G186" s="176">
        <f t="shared" si="31"/>
        <v>1.9650000000000001</v>
      </c>
      <c r="H186" s="156">
        <f t="shared" ref="H186:H194" si="36">G186/F186</f>
        <v>3.0045871559633064E-2</v>
      </c>
      <c r="I186" s="120">
        <f t="shared" ref="I186:I194" si="37">O186</f>
        <v>75.3</v>
      </c>
      <c r="J186" s="695">
        <f>J185</f>
        <v>71</v>
      </c>
      <c r="K186" s="691">
        <v>4</v>
      </c>
      <c r="L186" s="507">
        <f t="shared" ref="L186:L194" si="38">P186</f>
        <v>5.0999999999999996</v>
      </c>
      <c r="M186" s="497">
        <f t="shared" ref="M186:M194" si="39">O186</f>
        <v>75.3</v>
      </c>
      <c r="N186" t="s">
        <v>697</v>
      </c>
      <c r="O186" s="242">
        <v>75.3</v>
      </c>
      <c r="P186" s="419">
        <v>5.0999999999999996</v>
      </c>
      <c r="Q186" s="423">
        <v>148</v>
      </c>
      <c r="R186" s="434">
        <f t="shared" ref="R186:R194" si="40">D186-Q186</f>
        <v>-0.23500000000009891</v>
      </c>
      <c r="S186" s="435">
        <f t="shared" si="32"/>
        <v>0.36499999999999999</v>
      </c>
      <c r="W186">
        <v>57</v>
      </c>
      <c r="X186">
        <v>56</v>
      </c>
    </row>
    <row r="187" spans="2:26" ht="15" customHeight="1" x14ac:dyDescent="0.2">
      <c r="B187" s="106">
        <v>3</v>
      </c>
      <c r="C187" s="121">
        <f t="shared" si="33"/>
        <v>102.36999999999995</v>
      </c>
      <c r="D187" s="700">
        <f>(F187+G187+M187+L187)+$E$179</f>
        <v>173.36999999999995</v>
      </c>
      <c r="E187" s="121">
        <f t="shared" si="35"/>
        <v>92.369999999999976</v>
      </c>
      <c r="F187" s="121">
        <f t="shared" si="31"/>
        <v>88.899999999999977</v>
      </c>
      <c r="G187" s="177">
        <f t="shared" si="31"/>
        <v>3.47</v>
      </c>
      <c r="H187" s="157">
        <f t="shared" si="36"/>
        <v>3.9032620922384714E-2</v>
      </c>
      <c r="I187" s="121">
        <f t="shared" si="37"/>
        <v>74.8</v>
      </c>
      <c r="J187" s="696">
        <f t="shared" ref="J187:J194" si="41">J186</f>
        <v>71</v>
      </c>
      <c r="K187" s="692">
        <v>4</v>
      </c>
      <c r="L187" s="507">
        <f t="shared" si="38"/>
        <v>6.2</v>
      </c>
      <c r="M187" s="497">
        <f t="shared" si="39"/>
        <v>74.8</v>
      </c>
      <c r="O187" s="243">
        <v>74.8</v>
      </c>
      <c r="P187" s="243">
        <v>6.2</v>
      </c>
      <c r="Q187" s="424">
        <v>172</v>
      </c>
      <c r="R187" s="436">
        <f t="shared" si="40"/>
        <v>1.3699999999999477</v>
      </c>
      <c r="S187" s="437">
        <f t="shared" si="32"/>
        <v>0.87000000000000011</v>
      </c>
      <c r="W187">
        <f>SUM(W183:W186)</f>
        <v>330</v>
      </c>
      <c r="X187">
        <v>43</v>
      </c>
    </row>
    <row r="188" spans="2:26" ht="15" customHeight="1" x14ac:dyDescent="0.2">
      <c r="B188" s="106">
        <v>4</v>
      </c>
      <c r="C188" s="121">
        <f t="shared" si="33"/>
        <v>121.11000000000004</v>
      </c>
      <c r="D188" s="700">
        <f t="shared" si="34"/>
        <v>192.11000000000004</v>
      </c>
      <c r="E188" s="121">
        <f t="shared" si="35"/>
        <v>110.51000000000003</v>
      </c>
      <c r="F188" s="121">
        <f t="shared" si="31"/>
        <v>105.40000000000003</v>
      </c>
      <c r="G188" s="177">
        <f t="shared" si="31"/>
        <v>5.1100000000000003</v>
      </c>
      <c r="H188" s="157">
        <f t="shared" si="36"/>
        <v>4.8481973434535093E-2</v>
      </c>
      <c r="I188" s="121">
        <f t="shared" si="37"/>
        <v>74.5</v>
      </c>
      <c r="J188" s="696">
        <f t="shared" si="41"/>
        <v>71</v>
      </c>
      <c r="K188" s="692">
        <v>4</v>
      </c>
      <c r="L188" s="507">
        <f t="shared" si="38"/>
        <v>7.1</v>
      </c>
      <c r="M188" s="497">
        <f t="shared" si="39"/>
        <v>74.5</v>
      </c>
      <c r="O188" s="243">
        <v>74.5</v>
      </c>
      <c r="P188" s="243">
        <v>7.1</v>
      </c>
      <c r="Q188" s="424">
        <v>191</v>
      </c>
      <c r="R188" s="436">
        <f t="shared" si="40"/>
        <v>1.1100000000000421</v>
      </c>
      <c r="S188" s="437">
        <f t="shared" si="32"/>
        <v>1.3100000000000005</v>
      </c>
      <c r="X188">
        <f>SUM(X183:X187)</f>
        <v>367</v>
      </c>
    </row>
    <row r="189" spans="2:26" ht="15" customHeight="1" x14ac:dyDescent="0.2">
      <c r="B189" s="106">
        <v>5</v>
      </c>
      <c r="C189" s="120">
        <f t="shared" si="33"/>
        <v>139.65000000000003</v>
      </c>
      <c r="D189" s="699">
        <f t="shared" si="34"/>
        <v>210.65000000000003</v>
      </c>
      <c r="E189" s="120">
        <f t="shared" si="35"/>
        <v>127.65000000000003</v>
      </c>
      <c r="F189" s="120">
        <f t="shared" si="31"/>
        <v>120.65000000000003</v>
      </c>
      <c r="G189" s="176">
        <f t="shared" si="31"/>
        <v>7</v>
      </c>
      <c r="H189" s="156">
        <f t="shared" si="36"/>
        <v>5.8019063406547847E-2</v>
      </c>
      <c r="I189" s="120">
        <f t="shared" si="37"/>
        <v>74.5</v>
      </c>
      <c r="J189" s="695">
        <f t="shared" si="41"/>
        <v>71</v>
      </c>
      <c r="K189" s="691">
        <v>4</v>
      </c>
      <c r="L189" s="507">
        <f t="shared" si="38"/>
        <v>8.5</v>
      </c>
      <c r="M189" s="497">
        <f t="shared" si="39"/>
        <v>74.5</v>
      </c>
      <c r="O189" s="242">
        <v>74.5</v>
      </c>
      <c r="P189" s="242">
        <v>8.5</v>
      </c>
      <c r="Q189" s="423">
        <v>209</v>
      </c>
      <c r="R189" s="434">
        <f t="shared" si="40"/>
        <v>1.6500000000000341</v>
      </c>
      <c r="S189" s="435">
        <f t="shared" si="32"/>
        <v>1.9000000000000004</v>
      </c>
    </row>
    <row r="190" spans="2:26" ht="15" customHeight="1" x14ac:dyDescent="0.2">
      <c r="B190" s="106">
        <v>10</v>
      </c>
      <c r="C190" s="121">
        <f t="shared" si="33"/>
        <v>220.48142857142864</v>
      </c>
      <c r="D190" s="700">
        <f t="shared" si="34"/>
        <v>291.48142857142864</v>
      </c>
      <c r="E190" s="121">
        <f t="shared" si="35"/>
        <v>206.28142857142859</v>
      </c>
      <c r="F190" s="121">
        <f t="shared" si="31"/>
        <v>186.84142857142859</v>
      </c>
      <c r="G190" s="177">
        <f t="shared" si="31"/>
        <v>19.440000000000001</v>
      </c>
      <c r="H190" s="157">
        <f t="shared" si="36"/>
        <v>0.10404544724709264</v>
      </c>
      <c r="I190" s="121">
        <f t="shared" si="37"/>
        <v>74.599999999999994</v>
      </c>
      <c r="J190" s="696">
        <f t="shared" si="41"/>
        <v>71</v>
      </c>
      <c r="K190" s="692">
        <v>4</v>
      </c>
      <c r="L190" s="507">
        <f t="shared" si="38"/>
        <v>10.6</v>
      </c>
      <c r="M190" s="497">
        <f t="shared" si="39"/>
        <v>74.599999999999994</v>
      </c>
      <c r="O190" s="243">
        <v>74.599999999999994</v>
      </c>
      <c r="P190" s="243">
        <v>10.6</v>
      </c>
      <c r="Q190" s="424">
        <v>287</v>
      </c>
      <c r="R190" s="436">
        <f t="shared" si="40"/>
        <v>4.481428571428637</v>
      </c>
      <c r="S190" s="437">
        <f t="shared" si="32"/>
        <v>4.3400000000000016</v>
      </c>
    </row>
    <row r="191" spans="2:26" ht="15" customHeight="1" x14ac:dyDescent="0.2">
      <c r="B191" s="106">
        <v>20</v>
      </c>
      <c r="C191" s="121">
        <f t="shared" si="33"/>
        <v>370.03428571428572</v>
      </c>
      <c r="D191" s="700">
        <f t="shared" si="34"/>
        <v>441.03428571428572</v>
      </c>
      <c r="E191" s="121">
        <f t="shared" si="35"/>
        <v>354.13428571428574</v>
      </c>
      <c r="F191" s="121">
        <f t="shared" si="31"/>
        <v>307.93428571428575</v>
      </c>
      <c r="G191" s="177">
        <f t="shared" si="31"/>
        <v>46.2</v>
      </c>
      <c r="H191" s="157">
        <f t="shared" si="36"/>
        <v>0.15003201054028223</v>
      </c>
      <c r="I191" s="121">
        <f t="shared" si="37"/>
        <v>74.5</v>
      </c>
      <c r="J191" s="696">
        <f t="shared" si="41"/>
        <v>71</v>
      </c>
      <c r="K191" s="692">
        <v>4</v>
      </c>
      <c r="L191" s="507">
        <f t="shared" si="38"/>
        <v>12.4</v>
      </c>
      <c r="M191" s="497">
        <f t="shared" si="39"/>
        <v>74.5</v>
      </c>
      <c r="O191" s="243">
        <v>74.5</v>
      </c>
      <c r="P191" s="243">
        <v>12.4</v>
      </c>
      <c r="Q191" s="424">
        <v>439</v>
      </c>
      <c r="R191" s="436">
        <f t="shared" si="40"/>
        <v>2.0342857142857156</v>
      </c>
      <c r="S191" s="437">
        <f t="shared" si="32"/>
        <v>2.2000000000000028</v>
      </c>
      <c r="X191">
        <f>367-330</f>
        <v>37</v>
      </c>
    </row>
    <row r="192" spans="2:26" ht="15" customHeight="1" x14ac:dyDescent="0.2">
      <c r="B192" s="106">
        <v>30</v>
      </c>
      <c r="C192" s="121">
        <f t="shared" si="33"/>
        <v>490.19857142857143</v>
      </c>
      <c r="D192" s="700">
        <f t="shared" si="34"/>
        <v>561.19857142857143</v>
      </c>
      <c r="E192" s="121">
        <f>F192+G192</f>
        <v>474.29857142857145</v>
      </c>
      <c r="F192" s="121">
        <f t="shared" si="31"/>
        <v>412.44857142857143</v>
      </c>
      <c r="G192" s="177">
        <f t="shared" si="31"/>
        <v>61.85</v>
      </c>
      <c r="H192" s="157">
        <f t="shared" si="36"/>
        <v>0.14995809001295399</v>
      </c>
      <c r="I192" s="121">
        <f t="shared" si="37"/>
        <v>74.900000000000006</v>
      </c>
      <c r="J192" s="696">
        <f t="shared" si="41"/>
        <v>71</v>
      </c>
      <c r="K192" s="692">
        <v>4</v>
      </c>
      <c r="L192" s="507">
        <f t="shared" si="38"/>
        <v>12</v>
      </c>
      <c r="M192" s="497">
        <f t="shared" si="39"/>
        <v>74.900000000000006</v>
      </c>
      <c r="O192" s="243">
        <v>74.900000000000006</v>
      </c>
      <c r="P192" s="243">
        <v>12</v>
      </c>
      <c r="Q192" s="424">
        <v>562</v>
      </c>
      <c r="R192" s="436">
        <f t="shared" si="40"/>
        <v>-0.80142857142857338</v>
      </c>
      <c r="S192" s="437">
        <f t="shared" si="32"/>
        <v>-1.25</v>
      </c>
    </row>
    <row r="193" spans="1:24" ht="15" customHeight="1" x14ac:dyDescent="0.2">
      <c r="B193" s="106">
        <v>40</v>
      </c>
      <c r="C193" s="121">
        <f t="shared" si="33"/>
        <v>601.43428571428569</v>
      </c>
      <c r="D193" s="700">
        <f t="shared" si="34"/>
        <v>672.43428571428569</v>
      </c>
      <c r="E193" s="121">
        <f t="shared" ref="E193:E194" si="42">F193+G193</f>
        <v>584.13428571428574</v>
      </c>
      <c r="F193" s="121">
        <f t="shared" si="31"/>
        <v>507.93428571428569</v>
      </c>
      <c r="G193" s="177">
        <f t="shared" si="31"/>
        <v>76.2</v>
      </c>
      <c r="H193" s="157">
        <f t="shared" si="36"/>
        <v>0.15001940633490274</v>
      </c>
      <c r="I193" s="121">
        <f t="shared" si="37"/>
        <v>75.400000000000006</v>
      </c>
      <c r="J193" s="696">
        <f t="shared" si="41"/>
        <v>71</v>
      </c>
      <c r="K193" s="692">
        <v>4</v>
      </c>
      <c r="L193" s="507">
        <f t="shared" si="38"/>
        <v>12.9</v>
      </c>
      <c r="M193" s="497">
        <f t="shared" si="39"/>
        <v>75.400000000000006</v>
      </c>
      <c r="O193" s="243">
        <v>75.400000000000006</v>
      </c>
      <c r="P193" s="243">
        <v>12.9</v>
      </c>
      <c r="Q193" s="424">
        <v>675</v>
      </c>
      <c r="R193" s="436">
        <f t="shared" si="40"/>
        <v>-2.5657142857143072</v>
      </c>
      <c r="S193" s="437">
        <f t="shared" si="32"/>
        <v>-2.5999999999999943</v>
      </c>
      <c r="X193">
        <f>343+37</f>
        <v>380</v>
      </c>
    </row>
    <row r="194" spans="1:24" ht="15" customHeight="1" thickBot="1" x14ac:dyDescent="0.25">
      <c r="B194" s="106">
        <v>50</v>
      </c>
      <c r="C194" s="120">
        <f>(D194-J194)</f>
        <v>711.24142857142851</v>
      </c>
      <c r="D194" s="701">
        <f>(F194+G194+M194+L194)+$E$179</f>
        <v>782.24142857142851</v>
      </c>
      <c r="E194" s="120">
        <f t="shared" si="42"/>
        <v>692.24142857142851</v>
      </c>
      <c r="F194" s="120">
        <f t="shared" si="31"/>
        <v>601.94142857142856</v>
      </c>
      <c r="G194" s="176">
        <f t="shared" si="31"/>
        <v>90.3</v>
      </c>
      <c r="H194" s="156">
        <f t="shared" si="36"/>
        <v>0.15001459562985484</v>
      </c>
      <c r="I194" s="120">
        <f t="shared" si="37"/>
        <v>76.599999999999994</v>
      </c>
      <c r="J194" s="697">
        <f t="shared" si="41"/>
        <v>71</v>
      </c>
      <c r="K194" s="693">
        <v>4</v>
      </c>
      <c r="L194" s="507">
        <f t="shared" si="38"/>
        <v>13.4</v>
      </c>
      <c r="M194" s="497">
        <f t="shared" si="39"/>
        <v>76.599999999999994</v>
      </c>
      <c r="O194" s="554">
        <v>76.599999999999994</v>
      </c>
      <c r="P194" s="242">
        <v>13.4</v>
      </c>
      <c r="Q194" s="423">
        <v>786</v>
      </c>
      <c r="R194" s="438">
        <f t="shared" si="40"/>
        <v>-3.7585714285714857</v>
      </c>
      <c r="S194" s="439">
        <f t="shared" si="32"/>
        <v>-3.5</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2.5150000000000001</v>
      </c>
      <c r="E205" s="255">
        <v>1</v>
      </c>
      <c r="F205" s="249">
        <v>1.0160334346386042</v>
      </c>
      <c r="G205" s="122">
        <v>1.4090885276242389</v>
      </c>
      <c r="H205" s="34">
        <f>(D206*2.20462*25.4*12)</f>
        <v>3057.4552007999996</v>
      </c>
      <c r="I205" s="5">
        <f>F205*D$205*SQRT(4*D$207*H$205/32.2)/12</f>
        <v>38.260999999999989</v>
      </c>
      <c r="J205" s="1"/>
      <c r="K205" s="22"/>
      <c r="L205" s="96">
        <v>1</v>
      </c>
      <c r="M205" s="92">
        <f>L205*I205</f>
        <v>38.260999999999989</v>
      </c>
      <c r="N205" s="13"/>
      <c r="O205" s="84">
        <v>1</v>
      </c>
      <c r="P205" s="92">
        <f>C185</f>
        <v>38.260999999999981</v>
      </c>
      <c r="Q205" s="254">
        <f>P205/M205</f>
        <v>0.99999999999999978</v>
      </c>
      <c r="R205" s="254">
        <f>G205*Q205</f>
        <v>1.4090885276242386</v>
      </c>
      <c r="S205" s="267" t="s">
        <v>138</v>
      </c>
    </row>
    <row r="206" spans="1:24" ht="15" customHeight="1" x14ac:dyDescent="0.2">
      <c r="B206" s="259" t="s">
        <v>7</v>
      </c>
      <c r="C206" s="12" t="s">
        <v>10</v>
      </c>
      <c r="D206" s="444">
        <v>4.55</v>
      </c>
      <c r="E206" s="255">
        <v>2</v>
      </c>
      <c r="F206" s="250">
        <v>1.0192599070859671</v>
      </c>
      <c r="G206" s="123">
        <v>1.0969832043923931</v>
      </c>
      <c r="H206" s="35"/>
      <c r="I206" s="5">
        <f>F206*D$205*SQRT(4*D$207*H$205/32.2)/12</f>
        <v>38.382499999999958</v>
      </c>
      <c r="J206" s="1"/>
      <c r="K206" s="22"/>
      <c r="L206" s="97">
        <v>2</v>
      </c>
      <c r="M206" s="93">
        <f>L206*I206</f>
        <v>76.764999999999915</v>
      </c>
      <c r="N206" s="13"/>
      <c r="O206" s="84">
        <v>2</v>
      </c>
      <c r="P206" s="93">
        <f t="shared" ref="P206:P214" si="43">C186</f>
        <v>76.764999999999901</v>
      </c>
      <c r="Q206" s="254">
        <f t="shared" ref="Q206:Q214" si="44">P206/M206</f>
        <v>0.99999999999999978</v>
      </c>
      <c r="R206" s="254">
        <f t="shared" ref="R206:R214" si="45">G206*Q206</f>
        <v>1.0969832043923928</v>
      </c>
      <c r="S206" s="267" t="s">
        <v>139</v>
      </c>
    </row>
    <row r="207" spans="1:24" ht="15" customHeight="1" x14ac:dyDescent="0.2">
      <c r="B207" s="261" t="s">
        <v>8</v>
      </c>
      <c r="C207" s="262" t="s">
        <v>15</v>
      </c>
      <c r="D207" s="263">
        <v>85</v>
      </c>
      <c r="E207" s="255">
        <v>3</v>
      </c>
      <c r="F207" s="249">
        <v>0.90615633590299849</v>
      </c>
      <c r="G207" s="122">
        <v>0.9519400169988298</v>
      </c>
      <c r="H207" s="35"/>
      <c r="I207" s="5">
        <f t="shared" ref="I207:I214" si="46">F207*D$205*SQRT(4*D$207*H$205/32.2)/12</f>
        <v>34.123333333333314</v>
      </c>
      <c r="J207" s="1"/>
      <c r="K207" s="22"/>
      <c r="L207" s="98">
        <v>3</v>
      </c>
      <c r="M207" s="94">
        <f t="shared" ref="M207:M213" si="47">L207*I207</f>
        <v>102.36999999999995</v>
      </c>
      <c r="N207" s="13"/>
      <c r="O207" s="84">
        <v>3</v>
      </c>
      <c r="P207" s="94">
        <f t="shared" si="43"/>
        <v>102.36999999999995</v>
      </c>
      <c r="Q207" s="254">
        <f t="shared" si="44"/>
        <v>1</v>
      </c>
      <c r="R207" s="254">
        <f t="shared" si="45"/>
        <v>0.9519400169988298</v>
      </c>
    </row>
    <row r="208" spans="1:24" ht="15" customHeight="1" x14ac:dyDescent="0.2">
      <c r="E208" s="30">
        <v>4</v>
      </c>
      <c r="F208" s="249">
        <v>0.80402896728445039</v>
      </c>
      <c r="G208" s="122">
        <v>0.85218266351356176</v>
      </c>
      <c r="H208" s="35"/>
      <c r="I208" s="5">
        <f t="shared" si="46"/>
        <v>30.277500000000014</v>
      </c>
      <c r="J208" s="1"/>
      <c r="K208" s="22"/>
      <c r="L208" s="98">
        <v>4</v>
      </c>
      <c r="M208" s="94">
        <f t="shared" si="47"/>
        <v>121.11000000000006</v>
      </c>
      <c r="N208" s="13"/>
      <c r="O208" s="84">
        <v>4</v>
      </c>
      <c r="P208" s="94">
        <f t="shared" si="43"/>
        <v>121.11000000000004</v>
      </c>
      <c r="Q208" s="254">
        <f t="shared" si="44"/>
        <v>0.99999999999999989</v>
      </c>
      <c r="R208" s="254">
        <f t="shared" si="45"/>
        <v>0.85218266351356164</v>
      </c>
    </row>
    <row r="209" spans="1:19" ht="15" customHeight="1" x14ac:dyDescent="0.2">
      <c r="B209" s="268" t="s">
        <v>132</v>
      </c>
      <c r="E209" s="30">
        <v>5</v>
      </c>
      <c r="F209" s="250">
        <v>0.74169033296192555</v>
      </c>
      <c r="G209" s="123">
        <v>0.77309512059142771</v>
      </c>
      <c r="H209" s="35"/>
      <c r="I209" s="5">
        <f t="shared" si="46"/>
        <v>27.93000000000001</v>
      </c>
      <c r="J209" s="1"/>
      <c r="K209" s="22"/>
      <c r="L209" s="97">
        <v>5</v>
      </c>
      <c r="M209" s="93">
        <f t="shared" si="47"/>
        <v>139.65000000000006</v>
      </c>
      <c r="N209" s="13"/>
      <c r="O209" s="84">
        <v>5</v>
      </c>
      <c r="P209" s="93">
        <f t="shared" si="43"/>
        <v>139.65000000000003</v>
      </c>
      <c r="Q209" s="254">
        <f t="shared" si="44"/>
        <v>0.99999999999999978</v>
      </c>
      <c r="R209" s="254">
        <f t="shared" si="45"/>
        <v>0.77309512059142749</v>
      </c>
    </row>
    <row r="210" spans="1:19" ht="15" customHeight="1" x14ac:dyDescent="0.2">
      <c r="B210" s="42" t="s">
        <v>131</v>
      </c>
      <c r="E210" s="30">
        <v>10</v>
      </c>
      <c r="F210" s="249">
        <v>0.58549568266761132</v>
      </c>
      <c r="G210" s="122">
        <v>0.6002465305164405</v>
      </c>
      <c r="H210" s="35"/>
      <c r="I210" s="5">
        <f t="shared" si="46"/>
        <v>22.048142857142864</v>
      </c>
      <c r="J210" s="1"/>
      <c r="K210" s="22"/>
      <c r="L210" s="98">
        <v>10</v>
      </c>
      <c r="M210" s="94">
        <f t="shared" si="47"/>
        <v>220.48142857142864</v>
      </c>
      <c r="N210" s="13"/>
      <c r="O210" s="84">
        <v>10</v>
      </c>
      <c r="P210" s="94">
        <f t="shared" si="43"/>
        <v>220.48142857142864</v>
      </c>
      <c r="Q210" s="254">
        <f t="shared" si="44"/>
        <v>1</v>
      </c>
      <c r="R210" s="254">
        <f t="shared" si="45"/>
        <v>0.6002465305164405</v>
      </c>
    </row>
    <row r="211" spans="1:19" ht="15" customHeight="1" x14ac:dyDescent="0.2">
      <c r="E211" s="30">
        <v>20</v>
      </c>
      <c r="F211" s="249">
        <v>0.49131910594120443</v>
      </c>
      <c r="G211" s="122">
        <v>0.48695620031470543</v>
      </c>
      <c r="H211" s="35"/>
      <c r="I211" s="5">
        <f t="shared" si="46"/>
        <v>18.501714285714289</v>
      </c>
      <c r="J211" s="1"/>
      <c r="K211" s="22"/>
      <c r="L211" s="98">
        <v>20</v>
      </c>
      <c r="M211" s="94">
        <f t="shared" si="47"/>
        <v>370.03428571428577</v>
      </c>
      <c r="N211" s="13"/>
      <c r="O211" s="84">
        <v>20</v>
      </c>
      <c r="P211" s="94">
        <f t="shared" si="43"/>
        <v>370.03428571428572</v>
      </c>
      <c r="Q211" s="254">
        <f t="shared" si="44"/>
        <v>0.99999999999999989</v>
      </c>
      <c r="R211" s="254">
        <f t="shared" si="45"/>
        <v>0.48695620031470538</v>
      </c>
    </row>
    <row r="212" spans="1:19" ht="15" customHeight="1" x14ac:dyDescent="0.2">
      <c r="E212" s="30">
        <v>30</v>
      </c>
      <c r="F212" s="249">
        <v>0.43391280780560598</v>
      </c>
      <c r="G212" s="122">
        <v>0.42846955203078307</v>
      </c>
      <c r="H212" s="35"/>
      <c r="I212" s="5">
        <f t="shared" si="46"/>
        <v>16.339952380952379</v>
      </c>
      <c r="J212" s="1"/>
      <c r="K212" s="22"/>
      <c r="L212" s="98">
        <v>30</v>
      </c>
      <c r="M212" s="94">
        <f>L212*I212</f>
        <v>490.19857142857137</v>
      </c>
      <c r="N212" s="13"/>
      <c r="O212" s="84">
        <v>30</v>
      </c>
      <c r="P212" s="94">
        <f t="shared" si="43"/>
        <v>490.19857142857143</v>
      </c>
      <c r="Q212" s="254">
        <f t="shared" si="44"/>
        <v>1.0000000000000002</v>
      </c>
      <c r="R212" s="254">
        <f t="shared" si="45"/>
        <v>0.42846955203078319</v>
      </c>
    </row>
    <row r="213" spans="1:19" ht="15" customHeight="1" x14ac:dyDescent="0.2">
      <c r="E213" s="30">
        <v>40</v>
      </c>
      <c r="F213" s="249">
        <v>0.3992821299911799</v>
      </c>
      <c r="G213" s="122">
        <v>0.39369060278426526</v>
      </c>
      <c r="H213" s="35"/>
      <c r="I213" s="5">
        <f t="shared" si="46"/>
        <v>15.035857142857139</v>
      </c>
      <c r="J213" s="1"/>
      <c r="K213" s="22"/>
      <c r="L213" s="98">
        <v>40</v>
      </c>
      <c r="M213" s="94">
        <f t="shared" si="47"/>
        <v>601.43428571428558</v>
      </c>
      <c r="N213" s="13"/>
      <c r="O213" s="84">
        <v>40</v>
      </c>
      <c r="P213" s="126">
        <f t="shared" si="43"/>
        <v>601.43428571428569</v>
      </c>
      <c r="Q213" s="254">
        <f t="shared" si="44"/>
        <v>1.0000000000000002</v>
      </c>
      <c r="R213" s="254">
        <f t="shared" si="45"/>
        <v>0.39369060278426538</v>
      </c>
    </row>
    <row r="214" spans="1:19" ht="15" customHeight="1" x14ac:dyDescent="0.2">
      <c r="E214" s="30">
        <v>50</v>
      </c>
      <c r="F214" s="250">
        <v>0.37774499962295605</v>
      </c>
      <c r="G214" s="123">
        <v>0.37069987771172658</v>
      </c>
      <c r="H214" s="36"/>
      <c r="I214" s="23">
        <f t="shared" si="46"/>
        <v>14.224828571428569</v>
      </c>
      <c r="J214" s="24"/>
      <c r="K214" s="17"/>
      <c r="L214" s="99">
        <v>50</v>
      </c>
      <c r="M214" s="100">
        <f>L214*I214</f>
        <v>711.2414285714284</v>
      </c>
      <c r="N214" s="16"/>
      <c r="O214" s="107">
        <v>50</v>
      </c>
      <c r="P214" s="127">
        <f t="shared" si="43"/>
        <v>711.24142857142851</v>
      </c>
      <c r="Q214" s="254">
        <f t="shared" si="44"/>
        <v>1.0000000000000002</v>
      </c>
      <c r="R214" s="254">
        <f t="shared" si="45"/>
        <v>0.37069987771172663</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2.5150000000000001</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8">D206</f>
        <v>4.55</v>
      </c>
      <c r="C227" s="1" t="s">
        <v>0</v>
      </c>
      <c r="D227" s="22"/>
      <c r="E227" s="71">
        <v>1</v>
      </c>
      <c r="F227" s="55">
        <f>F185</f>
        <v>29.149999999999984</v>
      </c>
      <c r="G227" s="46">
        <f>F227/E227</f>
        <v>29.149999999999984</v>
      </c>
      <c r="H227" s="178">
        <f t="shared" ref="H227:H236" si="49">SQRT(12*32.2*G227^2/(4*$B$228*($B$227*56)*$B$226^2))</f>
        <v>0.77406950456840629</v>
      </c>
      <c r="I227" s="718"/>
      <c r="J227" s="178">
        <v>0.77406950456840629</v>
      </c>
      <c r="K227" s="544">
        <v>1</v>
      </c>
      <c r="L227" s="549">
        <f>J227*$L$225</f>
        <v>0.77406950456840629</v>
      </c>
      <c r="M227" s="5">
        <f>(B227*2.20462*25.4*12)</f>
        <v>3057.4552007999996</v>
      </c>
      <c r="N227" s="74">
        <f t="shared" ref="N227:N236" si="50">L227*B$226*SQRT(4*B$228*M$227/32.2)/12</f>
        <v>29.149309761470818</v>
      </c>
      <c r="O227" s="597">
        <f>K227*N227</f>
        <v>29.149309761470818</v>
      </c>
      <c r="P227" s="591">
        <f t="shared" ref="P227:P236" si="51">M157</f>
        <v>1.0209605488850773</v>
      </c>
      <c r="Q227" s="60">
        <f>P227*O227</f>
        <v>29.760295293692387</v>
      </c>
      <c r="R227" s="166">
        <f>Q227-O227</f>
        <v>0.61098553222156937</v>
      </c>
      <c r="S227" s="169">
        <f>R227/O227</f>
        <v>2.0960548885077278E-2</v>
      </c>
    </row>
    <row r="228" spans="2:19" ht="15" customHeight="1" x14ac:dyDescent="0.2">
      <c r="B228" s="271">
        <f t="shared" si="48"/>
        <v>85</v>
      </c>
      <c r="C228" s="77" t="s">
        <v>1</v>
      </c>
      <c r="D228" s="17"/>
      <c r="E228" s="70">
        <v>2</v>
      </c>
      <c r="F228" s="54">
        <f t="shared" ref="F228:F236" si="52">F186</f>
        <v>65.39999999999992</v>
      </c>
      <c r="G228" s="45">
        <f t="shared" ref="G228:G236" si="53">F228/E228</f>
        <v>32.69999999999996</v>
      </c>
      <c r="H228" s="179">
        <f t="shared" si="49"/>
        <v>0.86833868951584448</v>
      </c>
      <c r="I228" s="718"/>
      <c r="J228" s="179">
        <v>0.86833868951584448</v>
      </c>
      <c r="K228" s="545">
        <v>2</v>
      </c>
      <c r="L228" s="550">
        <f t="shared" ref="L228:L236" si="54">J228*$L$225</f>
        <v>0.86833868951584448</v>
      </c>
      <c r="N228" s="73">
        <f t="shared" si="50"/>
        <v>32.699225701547</v>
      </c>
      <c r="O228" s="598">
        <f t="shared" ref="O228:O235" si="55">K228*N228</f>
        <v>65.398451403094001</v>
      </c>
      <c r="P228" s="591">
        <f t="shared" si="51"/>
        <v>1.030045871559633</v>
      </c>
      <c r="Q228" s="59">
        <f t="shared" ref="Q228:Q236" si="56">P228*O228</f>
        <v>67.363404874150262</v>
      </c>
      <c r="R228" s="167">
        <f t="shared" ref="R228:R236" si="57">Q228-O228</f>
        <v>1.9649534710562619</v>
      </c>
      <c r="S228" s="170">
        <f t="shared" ref="S228:S236" si="58">R228/O228</f>
        <v>3.0045871559632984E-2</v>
      </c>
    </row>
    <row r="229" spans="2:19" ht="15" customHeight="1" x14ac:dyDescent="0.2">
      <c r="E229" s="69">
        <v>3</v>
      </c>
      <c r="F229" s="50">
        <f t="shared" si="52"/>
        <v>88.899999999999977</v>
      </c>
      <c r="G229" s="44">
        <f t="shared" si="53"/>
        <v>29.633333333333326</v>
      </c>
      <c r="H229" s="180">
        <f t="shared" si="49"/>
        <v>0.78690427622791692</v>
      </c>
      <c r="I229" s="718"/>
      <c r="J229" s="180">
        <v>0.78690427622791692</v>
      </c>
      <c r="K229" s="546">
        <v>3</v>
      </c>
      <c r="L229" s="551">
        <f t="shared" si="54"/>
        <v>0.78690427622791692</v>
      </c>
      <c r="N229" s="72">
        <f t="shared" si="50"/>
        <v>29.6326316500258</v>
      </c>
      <c r="O229" s="599">
        <f>K229*N229</f>
        <v>88.897894950077401</v>
      </c>
      <c r="P229" s="591">
        <f t="shared" si="51"/>
        <v>1.0390326209223848</v>
      </c>
      <c r="Q229" s="58">
        <f t="shared" si="56"/>
        <v>92.367812784461762</v>
      </c>
      <c r="R229" s="168">
        <f>Q229-O229</f>
        <v>3.4699178343843613</v>
      </c>
      <c r="S229" s="171">
        <f t="shared" si="58"/>
        <v>3.9032620922384846E-2</v>
      </c>
    </row>
    <row r="230" spans="2:19" ht="15" customHeight="1" x14ac:dyDescent="0.2">
      <c r="E230" s="69">
        <v>4</v>
      </c>
      <c r="F230" s="50">
        <f t="shared" si="52"/>
        <v>105.40000000000003</v>
      </c>
      <c r="G230" s="44">
        <f t="shared" si="53"/>
        <v>26.350000000000009</v>
      </c>
      <c r="H230" s="180">
        <f t="shared" si="49"/>
        <v>0.69971634460986354</v>
      </c>
      <c r="I230" s="718"/>
      <c r="J230" s="180">
        <v>0.69971634460986354</v>
      </c>
      <c r="K230" s="546">
        <v>4</v>
      </c>
      <c r="L230" s="551">
        <f t="shared" si="54"/>
        <v>0.69971634460986354</v>
      </c>
      <c r="N230" s="72">
        <f t="shared" si="50"/>
        <v>26.3493760622558</v>
      </c>
      <c r="O230" s="599">
        <f t="shared" si="55"/>
        <v>105.3975042490232</v>
      </c>
      <c r="P230" s="591">
        <f t="shared" si="51"/>
        <v>1.048481973434535</v>
      </c>
      <c r="Q230" s="58">
        <f t="shared" si="56"/>
        <v>110.50738325009063</v>
      </c>
      <c r="R230" s="168">
        <f>Q230-O230</f>
        <v>5.1098790010674264</v>
      </c>
      <c r="S230" s="171">
        <f t="shared" si="58"/>
        <v>4.848197343453494E-2</v>
      </c>
    </row>
    <row r="231" spans="2:19" ht="15" customHeight="1" x14ac:dyDescent="0.2">
      <c r="E231" s="70">
        <v>5</v>
      </c>
      <c r="F231" s="54">
        <f t="shared" si="52"/>
        <v>120.65000000000003</v>
      </c>
      <c r="G231" s="45">
        <f t="shared" si="53"/>
        <v>24.130000000000006</v>
      </c>
      <c r="H231" s="179">
        <f t="shared" si="49"/>
        <v>0.64076491064273267</v>
      </c>
      <c r="I231" s="718"/>
      <c r="J231" s="179">
        <v>0.64076491064273267</v>
      </c>
      <c r="K231" s="545">
        <v>5</v>
      </c>
      <c r="L231" s="550">
        <f t="shared" si="54"/>
        <v>0.64076491064273267</v>
      </c>
      <c r="N231" s="73">
        <f t="shared" si="50"/>
        <v>24.129428629306734</v>
      </c>
      <c r="O231" s="598">
        <f t="shared" si="55"/>
        <v>120.64714314653367</v>
      </c>
      <c r="P231" s="591">
        <f t="shared" si="51"/>
        <v>1.0580190634065478</v>
      </c>
      <c r="Q231" s="59">
        <f t="shared" si="56"/>
        <v>127.64697739457125</v>
      </c>
      <c r="R231" s="167">
        <f t="shared" si="57"/>
        <v>6.9998342480375868</v>
      </c>
      <c r="S231" s="170">
        <f t="shared" si="58"/>
        <v>5.8019063406547812E-2</v>
      </c>
    </row>
    <row r="232" spans="2:19" ht="15" customHeight="1" x14ac:dyDescent="0.2">
      <c r="E232" s="69">
        <v>10</v>
      </c>
      <c r="F232" s="50">
        <f t="shared" si="52"/>
        <v>186.84142857142859</v>
      </c>
      <c r="G232" s="44">
        <f t="shared" si="53"/>
        <v>18.684142857142859</v>
      </c>
      <c r="H232" s="180">
        <f t="shared" si="49"/>
        <v>0.49615180805193509</v>
      </c>
      <c r="I232" s="718"/>
      <c r="J232" s="180">
        <v>0.49615180805193509</v>
      </c>
      <c r="K232" s="547">
        <v>10</v>
      </c>
      <c r="L232" s="551">
        <f t="shared" si="54"/>
        <v>0.49615180805193509</v>
      </c>
      <c r="M232" s="41"/>
      <c r="N232" s="76">
        <f t="shared" si="50"/>
        <v>18.683700438093648</v>
      </c>
      <c r="O232" s="600">
        <f t="shared" si="55"/>
        <v>186.83700438093649</v>
      </c>
      <c r="P232" s="591">
        <f t="shared" si="51"/>
        <v>1.1040454472470926</v>
      </c>
      <c r="Q232" s="58">
        <f t="shared" si="56"/>
        <v>206.27654406405804</v>
      </c>
      <c r="R232" s="168">
        <f t="shared" si="57"/>
        <v>19.439539683121552</v>
      </c>
      <c r="S232" s="171">
        <f t="shared" si="58"/>
        <v>0.10404544724709268</v>
      </c>
    </row>
    <row r="233" spans="2:19" ht="15" customHeight="1" x14ac:dyDescent="0.2">
      <c r="E233" s="69">
        <v>20</v>
      </c>
      <c r="F233" s="50">
        <f t="shared" si="52"/>
        <v>307.93428571428575</v>
      </c>
      <c r="G233" s="44">
        <f t="shared" si="53"/>
        <v>15.396714285714287</v>
      </c>
      <c r="H233" s="180">
        <f t="shared" si="49"/>
        <v>0.40885512861489431</v>
      </c>
      <c r="I233" s="718"/>
      <c r="J233" s="180">
        <v>0.40885512861489431</v>
      </c>
      <c r="K233" s="546">
        <v>20</v>
      </c>
      <c r="L233" s="551">
        <f t="shared" si="54"/>
        <v>0.40885512861489431</v>
      </c>
      <c r="N233" s="72">
        <f t="shared" si="50"/>
        <v>15.396349709198931</v>
      </c>
      <c r="O233" s="599">
        <f t="shared" si="55"/>
        <v>307.92699418397865</v>
      </c>
      <c r="P233" s="591">
        <f t="shared" si="51"/>
        <v>1.1500320105402821</v>
      </c>
      <c r="Q233" s="58">
        <f t="shared" si="56"/>
        <v>354.12590022102671</v>
      </c>
      <c r="R233" s="168">
        <f t="shared" si="57"/>
        <v>46.198906037048062</v>
      </c>
      <c r="S233" s="171">
        <f t="shared" si="58"/>
        <v>0.15003201054028206</v>
      </c>
    </row>
    <row r="234" spans="2:19" ht="15" customHeight="1" x14ac:dyDescent="0.2">
      <c r="E234" s="69">
        <v>30</v>
      </c>
      <c r="F234" s="50">
        <f t="shared" si="52"/>
        <v>412.44857142857143</v>
      </c>
      <c r="G234" s="44">
        <f t="shared" si="53"/>
        <v>13.748285714285714</v>
      </c>
      <c r="H234" s="180">
        <f t="shared" si="49"/>
        <v>0.36508160245358651</v>
      </c>
      <c r="I234" s="718"/>
      <c r="J234" s="180">
        <v>0.36508160245358651</v>
      </c>
      <c r="K234" s="546">
        <v>30</v>
      </c>
      <c r="L234" s="551">
        <f t="shared" si="54"/>
        <v>0.36508160245358651</v>
      </c>
      <c r="N234" s="72">
        <f t="shared" si="50"/>
        <v>13.747960170666161</v>
      </c>
      <c r="O234" s="599">
        <f t="shared" si="55"/>
        <v>412.43880511998486</v>
      </c>
      <c r="P234" s="591">
        <f t="shared" si="51"/>
        <v>1.149958090012954</v>
      </c>
      <c r="Q234" s="58">
        <f t="shared" si="56"/>
        <v>474.28734058300273</v>
      </c>
      <c r="R234" s="168">
        <f t="shared" si="57"/>
        <v>61.848535463017868</v>
      </c>
      <c r="S234" s="171">
        <f t="shared" si="58"/>
        <v>0.14995809001295396</v>
      </c>
    </row>
    <row r="235" spans="2:19" ht="15" customHeight="1" x14ac:dyDescent="0.2">
      <c r="E235" s="69">
        <v>40</v>
      </c>
      <c r="F235" s="50">
        <f t="shared" si="52"/>
        <v>507.93428571428569</v>
      </c>
      <c r="G235" s="44">
        <f t="shared" si="53"/>
        <v>12.698357142857143</v>
      </c>
      <c r="H235" s="180">
        <f t="shared" si="49"/>
        <v>0.33720106423341739</v>
      </c>
      <c r="I235" s="718"/>
      <c r="J235" s="180">
        <v>0.33720106423341739</v>
      </c>
      <c r="K235" s="546">
        <v>40</v>
      </c>
      <c r="L235" s="551">
        <f t="shared" si="54"/>
        <v>0.33720106423341739</v>
      </c>
      <c r="N235" s="72">
        <f t="shared" si="50"/>
        <v>12.698056460340602</v>
      </c>
      <c r="O235" s="599">
        <f t="shared" si="55"/>
        <v>507.92225841362409</v>
      </c>
      <c r="P235" s="591">
        <f t="shared" si="51"/>
        <v>1.1500194063349027</v>
      </c>
      <c r="Q235" s="58">
        <f t="shared" si="56"/>
        <v>584.12045408511904</v>
      </c>
      <c r="R235" s="168">
        <f t="shared" si="57"/>
        <v>76.198195671494943</v>
      </c>
      <c r="S235" s="171">
        <f t="shared" si="58"/>
        <v>0.15001940633490274</v>
      </c>
    </row>
    <row r="236" spans="2:19" ht="15" customHeight="1" thickBot="1" x14ac:dyDescent="0.25">
      <c r="E236" s="70">
        <v>50</v>
      </c>
      <c r="F236" s="54">
        <f t="shared" si="52"/>
        <v>601.94142857142856</v>
      </c>
      <c r="G236" s="45">
        <f t="shared" si="53"/>
        <v>12.038828571428571</v>
      </c>
      <c r="H236" s="179">
        <f t="shared" si="49"/>
        <v>0.31968748088746807</v>
      </c>
      <c r="I236" s="718"/>
      <c r="J236" s="179">
        <v>0.31968748088746807</v>
      </c>
      <c r="K236" s="555">
        <v>50</v>
      </c>
      <c r="L236" s="556">
        <f t="shared" si="54"/>
        <v>0.31968748088746807</v>
      </c>
      <c r="N236" s="557">
        <f t="shared" si="50"/>
        <v>12.038543505791315</v>
      </c>
      <c r="O236" s="601">
        <f>K236*N236</f>
        <v>601.92717528956575</v>
      </c>
      <c r="P236" s="592">
        <f t="shared" si="51"/>
        <v>1.1500145956298549</v>
      </c>
      <c r="Q236" s="59">
        <f t="shared" si="56"/>
        <v>692.22503708925069</v>
      </c>
      <c r="R236" s="167">
        <f t="shared" si="57"/>
        <v>90.297861799684938</v>
      </c>
      <c r="S236" s="170">
        <f t="shared" si="58"/>
        <v>0.15001459562985481</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9">E157</f>
        <v>0.61099999999999999</v>
      </c>
      <c r="S241" s="327">
        <f>R241/R227</f>
        <v>1.0000236794124699</v>
      </c>
    </row>
    <row r="242" spans="1:19" ht="15" customHeight="1" x14ac:dyDescent="0.2">
      <c r="E242" s="323"/>
      <c r="F242" s="324"/>
      <c r="G242" s="323"/>
      <c r="H242" s="325"/>
      <c r="I242" s="41"/>
      <c r="J242" s="325"/>
      <c r="K242" s="323"/>
      <c r="L242" s="325"/>
      <c r="M242" s="41"/>
      <c r="N242" s="324"/>
      <c r="O242" s="324"/>
      <c r="P242" s="326"/>
      <c r="Q242" s="324"/>
      <c r="R242" s="167">
        <f t="shared" si="59"/>
        <v>1.9650000000000001</v>
      </c>
      <c r="S242" s="327">
        <f t="shared" ref="S242:S250" si="60">R242/R228</f>
        <v>1.0000236794124764</v>
      </c>
    </row>
    <row r="243" spans="1:19" ht="15" customHeight="1" x14ac:dyDescent="0.2">
      <c r="R243" s="168">
        <f t="shared" si="59"/>
        <v>3.47</v>
      </c>
      <c r="S243" s="327">
        <f t="shared" si="60"/>
        <v>1.0000236794124704</v>
      </c>
    </row>
    <row r="244" spans="1:19" ht="15" customHeight="1" x14ac:dyDescent="0.2">
      <c r="R244" s="168">
        <f t="shared" si="59"/>
        <v>5.1100000000000003</v>
      </c>
      <c r="S244" s="327">
        <f t="shared" si="60"/>
        <v>1.0000236794124771</v>
      </c>
    </row>
    <row r="245" spans="1:19" ht="15" customHeight="1" x14ac:dyDescent="0.2">
      <c r="R245" s="167">
        <f t="shared" si="59"/>
        <v>7</v>
      </c>
      <c r="S245" s="327">
        <f t="shared" si="60"/>
        <v>1.0000236794124746</v>
      </c>
    </row>
    <row r="246" spans="1:19" ht="15" customHeight="1" x14ac:dyDescent="0.2">
      <c r="R246" s="168">
        <f t="shared" si="59"/>
        <v>19.440000000000001</v>
      </c>
      <c r="S246" s="327">
        <f t="shared" si="60"/>
        <v>1.0000236794124733</v>
      </c>
    </row>
    <row r="247" spans="1:19" ht="15" customHeight="1" x14ac:dyDescent="0.2">
      <c r="F247" s="41"/>
      <c r="G247" s="41"/>
      <c r="H247" s="41"/>
      <c r="I247" s="41"/>
      <c r="J247" s="41"/>
      <c r="K247" s="41"/>
      <c r="L247" s="41"/>
      <c r="M247" s="41"/>
      <c r="N247" s="41"/>
      <c r="O247" s="41"/>
      <c r="P247" s="41"/>
      <c r="R247" s="168">
        <f t="shared" si="59"/>
        <v>46.2</v>
      </c>
      <c r="S247" s="327">
        <f t="shared" si="60"/>
        <v>1.0000236794124748</v>
      </c>
    </row>
    <row r="248" spans="1:19" ht="15" customHeight="1" x14ac:dyDescent="0.2">
      <c r="B248" s="90"/>
      <c r="R248" s="168">
        <f t="shared" si="59"/>
        <v>61.85</v>
      </c>
      <c r="S248" s="327">
        <f t="shared" si="60"/>
        <v>1.0000236794124739</v>
      </c>
    </row>
    <row r="249" spans="1:19" ht="15" customHeight="1" x14ac:dyDescent="0.2">
      <c r="A249" s="90" t="s">
        <v>95</v>
      </c>
      <c r="B249" s="64" t="s">
        <v>178</v>
      </c>
      <c r="R249" s="168">
        <f t="shared" si="59"/>
        <v>76.2</v>
      </c>
      <c r="S249" s="327">
        <f t="shared" si="60"/>
        <v>1.0000236794124737</v>
      </c>
    </row>
    <row r="250" spans="1:19" ht="15" customHeight="1" x14ac:dyDescent="0.2">
      <c r="R250" s="167">
        <f t="shared" si="59"/>
        <v>90.3</v>
      </c>
      <c r="S250" s="327">
        <f t="shared" si="60"/>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2.5150000000000001</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4.55</v>
      </c>
      <c r="C257" s="1" t="s">
        <v>0</v>
      </c>
      <c r="D257" s="22"/>
      <c r="E257" s="71">
        <v>1</v>
      </c>
      <c r="F257" s="166">
        <f>G185</f>
        <v>0.61099999999999999</v>
      </c>
      <c r="G257" s="49">
        <f>F257/E257</f>
        <v>0.61099999999999999</v>
      </c>
      <c r="H257" s="178">
        <f>SQRT(12*32.2*G257^2/(4*$B$258*($B$257*56)*$B$256^2))</f>
        <v>1.6224921690953565E-2</v>
      </c>
      <c r="I257" s="718"/>
      <c r="J257" s="178">
        <v>1.6224921690953565E-2</v>
      </c>
      <c r="K257" s="544">
        <v>1</v>
      </c>
      <c r="L257" s="549">
        <f>J257*$L$255</f>
        <v>1.6224921690953565E-2</v>
      </c>
      <c r="M257" s="5">
        <f>(B257*2.20462*25.4*12)</f>
        <v>3057.4552007999996</v>
      </c>
      <c r="N257" s="74">
        <f>L257*B$256*SQRT(4*B$258*M$257/32.2)/12</f>
        <v>0.61098553222156693</v>
      </c>
      <c r="O257" s="218">
        <f>K257*N257</f>
        <v>0.61098553222156693</v>
      </c>
      <c r="Q257" s="218">
        <f t="shared" ref="Q257:Q266" si="61">E157</f>
        <v>0.61099999999999999</v>
      </c>
      <c r="R257" s="327">
        <f>Q257/O257</f>
        <v>1.0000236794124739</v>
      </c>
    </row>
    <row r="258" spans="2:18" ht="15" customHeight="1" x14ac:dyDescent="0.2">
      <c r="B258" s="271">
        <f>D207</f>
        <v>85</v>
      </c>
      <c r="C258" s="77" t="s">
        <v>1</v>
      </c>
      <c r="D258" s="17"/>
      <c r="E258" s="70">
        <v>2</v>
      </c>
      <c r="F258" s="167">
        <f t="shared" ref="F258:F266" si="62">G186</f>
        <v>1.9650000000000001</v>
      </c>
      <c r="G258" s="48">
        <f t="shared" ref="G258:G266" si="63">F258/E258</f>
        <v>0.98250000000000004</v>
      </c>
      <c r="H258" s="179">
        <f t="shared" ref="H258:H266" si="64">SQRT(12*32.2*G258^2/(4*$B$258*($B$257*56)*$B$256^2))</f>
        <v>2.608999273545316E-2</v>
      </c>
      <c r="I258" s="718"/>
      <c r="J258" s="179">
        <v>2.608999273545316E-2</v>
      </c>
      <c r="K258" s="545">
        <v>2</v>
      </c>
      <c r="L258" s="550">
        <f t="shared" ref="L258:L266" si="65">J258*$L$255</f>
        <v>2.608999273545316E-2</v>
      </c>
      <c r="N258" s="73">
        <f t="shared" ref="N258:N266" si="66">L258*B$256*SQRT(4*B$258*M$257/32.2)/12</f>
        <v>0.98247673552813364</v>
      </c>
      <c r="O258" s="219">
        <f t="shared" ref="O258" si="67">K258*N258</f>
        <v>1.9649534710562673</v>
      </c>
      <c r="Q258" s="219">
        <f t="shared" si="61"/>
        <v>1.9650000000000001</v>
      </c>
      <c r="R258" s="327">
        <f t="shared" ref="R258:R266" si="68">Q258/O258</f>
        <v>1.0000236794124737</v>
      </c>
    </row>
    <row r="259" spans="2:18" ht="15" customHeight="1" x14ac:dyDescent="0.2">
      <c r="E259" s="69">
        <v>3</v>
      </c>
      <c r="F259" s="168">
        <f t="shared" si="62"/>
        <v>3.47</v>
      </c>
      <c r="G259" s="47">
        <f t="shared" si="63"/>
        <v>1.1566666666666667</v>
      </c>
      <c r="H259" s="180">
        <f t="shared" si="64"/>
        <v>3.0714936316207791E-2</v>
      </c>
      <c r="I259" s="718"/>
      <c r="J259" s="180">
        <v>3.0714936316207791E-2</v>
      </c>
      <c r="K259" s="546">
        <v>3</v>
      </c>
      <c r="L259" s="551">
        <f t="shared" si="65"/>
        <v>3.0714936316207791E-2</v>
      </c>
      <c r="N259" s="72">
        <f t="shared" si="66"/>
        <v>1.1566392781281165</v>
      </c>
      <c r="O259" s="220">
        <f>K259*N259</f>
        <v>3.4699178343843498</v>
      </c>
      <c r="Q259" s="220">
        <f t="shared" si="61"/>
        <v>3.47</v>
      </c>
      <c r="R259" s="327">
        <f t="shared" si="68"/>
        <v>1.0000236794124737</v>
      </c>
    </row>
    <row r="260" spans="2:18" ht="15" customHeight="1" x14ac:dyDescent="0.2">
      <c r="E260" s="69">
        <v>4</v>
      </c>
      <c r="F260" s="168">
        <f t="shared" si="62"/>
        <v>5.1100000000000003</v>
      </c>
      <c r="G260" s="47">
        <f t="shared" si="63"/>
        <v>1.2775000000000001</v>
      </c>
      <c r="H260" s="180">
        <f t="shared" si="64"/>
        <v>3.3923629231085405E-2</v>
      </c>
      <c r="I260" s="718"/>
      <c r="J260" s="180">
        <v>3.3923629231085405E-2</v>
      </c>
      <c r="K260" s="546">
        <v>4</v>
      </c>
      <c r="L260" s="551">
        <f t="shared" si="65"/>
        <v>3.3923629231085405E-2</v>
      </c>
      <c r="N260" s="72">
        <f t="shared" si="66"/>
        <v>1.2774697502668606</v>
      </c>
      <c r="O260" s="220">
        <f t="shared" ref="O260:O266" si="69">K260*N260</f>
        <v>5.1098790010674424</v>
      </c>
      <c r="Q260" s="220">
        <f t="shared" si="61"/>
        <v>5.1100000000000003</v>
      </c>
      <c r="R260" s="327">
        <f t="shared" si="68"/>
        <v>1.0000236794124739</v>
      </c>
    </row>
    <row r="261" spans="2:18" ht="15" customHeight="1" x14ac:dyDescent="0.2">
      <c r="E261" s="70">
        <v>5</v>
      </c>
      <c r="F261" s="167">
        <f t="shared" si="62"/>
        <v>7</v>
      </c>
      <c r="G261" s="48">
        <f t="shared" si="63"/>
        <v>1.4</v>
      </c>
      <c r="H261" s="179">
        <f t="shared" si="64"/>
        <v>3.7176579979271672E-2</v>
      </c>
      <c r="I261" s="718"/>
      <c r="J261" s="179">
        <v>3.7176579979271672E-2</v>
      </c>
      <c r="K261" s="545">
        <v>5</v>
      </c>
      <c r="L261" s="550">
        <f t="shared" si="65"/>
        <v>3.7176579979271672E-2</v>
      </c>
      <c r="N261" s="73">
        <f t="shared" si="66"/>
        <v>1.3999668496075184</v>
      </c>
      <c r="O261" s="219">
        <f t="shared" si="69"/>
        <v>6.9998342480375921</v>
      </c>
      <c r="Q261" s="219">
        <f t="shared" si="61"/>
        <v>7</v>
      </c>
      <c r="R261" s="327">
        <f t="shared" si="68"/>
        <v>1.0000236794124739</v>
      </c>
    </row>
    <row r="262" spans="2:18" ht="15" customHeight="1" x14ac:dyDescent="0.2">
      <c r="E262" s="69">
        <v>10</v>
      </c>
      <c r="F262" s="168">
        <f t="shared" si="62"/>
        <v>19.440000000000001</v>
      </c>
      <c r="G262" s="47">
        <f t="shared" si="63"/>
        <v>1.9440000000000002</v>
      </c>
      <c r="H262" s="180">
        <f t="shared" si="64"/>
        <v>5.1622336771217248E-2</v>
      </c>
      <c r="I262" s="718"/>
      <c r="J262" s="180">
        <v>5.1622336771217248E-2</v>
      </c>
      <c r="K262" s="547">
        <v>10</v>
      </c>
      <c r="L262" s="551">
        <f t="shared" si="65"/>
        <v>5.1622336771217248E-2</v>
      </c>
      <c r="M262" s="41"/>
      <c r="N262" s="76">
        <f t="shared" si="66"/>
        <v>1.9439539683121545</v>
      </c>
      <c r="O262" s="221">
        <f t="shared" si="69"/>
        <v>19.439539683121545</v>
      </c>
      <c r="Q262" s="221">
        <f t="shared" si="61"/>
        <v>19.440000000000001</v>
      </c>
      <c r="R262" s="327">
        <f t="shared" si="68"/>
        <v>1.0000236794124737</v>
      </c>
    </row>
    <row r="263" spans="2:18" ht="15" customHeight="1" x14ac:dyDescent="0.2">
      <c r="E263" s="69">
        <v>20</v>
      </c>
      <c r="F263" s="168">
        <f t="shared" si="62"/>
        <v>46.2</v>
      </c>
      <c r="G263" s="47">
        <f t="shared" si="63"/>
        <v>2.31</v>
      </c>
      <c r="H263" s="180">
        <f t="shared" si="64"/>
        <v>6.1341356965798267E-2</v>
      </c>
      <c r="I263" s="718"/>
      <c r="J263" s="180">
        <v>6.1341356965798267E-2</v>
      </c>
      <c r="K263" s="546">
        <v>20</v>
      </c>
      <c r="L263" s="551">
        <f t="shared" si="65"/>
        <v>6.1341356965798267E-2</v>
      </c>
      <c r="N263" s="72">
        <f t="shared" si="66"/>
        <v>2.3099453018524057</v>
      </c>
      <c r="O263" s="220">
        <f t="shared" si="69"/>
        <v>46.198906037048111</v>
      </c>
      <c r="Q263" s="220">
        <f t="shared" si="61"/>
        <v>46.2</v>
      </c>
      <c r="R263" s="327">
        <f t="shared" si="68"/>
        <v>1.0000236794124739</v>
      </c>
    </row>
    <row r="264" spans="2:18" ht="15" customHeight="1" x14ac:dyDescent="0.2">
      <c r="E264" s="69">
        <v>30</v>
      </c>
      <c r="F264" s="168">
        <f t="shared" si="62"/>
        <v>61.85</v>
      </c>
      <c r="G264" s="47">
        <f t="shared" si="63"/>
        <v>2.0616666666666665</v>
      </c>
      <c r="H264" s="180">
        <f t="shared" si="64"/>
        <v>5.4746939802808404E-2</v>
      </c>
      <c r="I264" s="718"/>
      <c r="J264" s="180">
        <v>5.4746939802808404E-2</v>
      </c>
      <c r="K264" s="546">
        <v>30</v>
      </c>
      <c r="L264" s="551">
        <f t="shared" si="65"/>
        <v>5.4746939802808404E-2</v>
      </c>
      <c r="N264" s="72">
        <f t="shared" si="66"/>
        <v>2.0616178487672623</v>
      </c>
      <c r="O264" s="220">
        <f t="shared" si="69"/>
        <v>61.848535463017868</v>
      </c>
      <c r="Q264" s="220">
        <f t="shared" si="61"/>
        <v>61.85</v>
      </c>
      <c r="R264" s="327">
        <f t="shared" si="68"/>
        <v>1.0000236794124739</v>
      </c>
    </row>
    <row r="265" spans="2:18" ht="15" customHeight="1" x14ac:dyDescent="0.2">
      <c r="E265" s="69">
        <v>40</v>
      </c>
      <c r="F265" s="168">
        <f t="shared" si="62"/>
        <v>76.2</v>
      </c>
      <c r="G265" s="47">
        <f t="shared" si="63"/>
        <v>1.905</v>
      </c>
      <c r="H265" s="180">
        <f t="shared" si="64"/>
        <v>5.0586703471794676E-2</v>
      </c>
      <c r="I265" s="718"/>
      <c r="J265" s="180">
        <v>5.0586703471794676E-2</v>
      </c>
      <c r="K265" s="546">
        <v>40</v>
      </c>
      <c r="L265" s="551">
        <f t="shared" si="65"/>
        <v>5.0586703471794676E-2</v>
      </c>
      <c r="N265" s="72">
        <f t="shared" si="66"/>
        <v>1.9049548917873735</v>
      </c>
      <c r="O265" s="220">
        <f t="shared" si="69"/>
        <v>76.198195671494943</v>
      </c>
      <c r="Q265" s="220">
        <f t="shared" si="61"/>
        <v>76.2</v>
      </c>
      <c r="R265" s="327">
        <f t="shared" si="68"/>
        <v>1.0000236794124737</v>
      </c>
    </row>
    <row r="266" spans="2:18" ht="15" customHeight="1" thickBot="1" x14ac:dyDescent="0.25">
      <c r="E266" s="70">
        <v>50</v>
      </c>
      <c r="F266" s="167">
        <f t="shared" si="62"/>
        <v>90.3</v>
      </c>
      <c r="G266" s="48">
        <f t="shared" si="63"/>
        <v>1.806</v>
      </c>
      <c r="H266" s="179">
        <f t="shared" si="64"/>
        <v>4.7957788173260463E-2</v>
      </c>
      <c r="I266" s="718"/>
      <c r="J266" s="179">
        <v>4.7957788173260463E-2</v>
      </c>
      <c r="K266" s="555">
        <v>50</v>
      </c>
      <c r="L266" s="556">
        <f t="shared" si="65"/>
        <v>4.7957788173260463E-2</v>
      </c>
      <c r="N266" s="557">
        <f t="shared" si="66"/>
        <v>1.8059572359936988</v>
      </c>
      <c r="O266" s="219">
        <f t="shared" si="69"/>
        <v>90.297861799684938</v>
      </c>
      <c r="Q266" s="219">
        <f t="shared" si="61"/>
        <v>90.3</v>
      </c>
      <c r="R266" s="327">
        <f t="shared" si="68"/>
        <v>1.0000236794124737</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14" t="s">
        <v>695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8" t="s">
        <v>699</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4.55</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4.55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70">C185</f>
        <v>38.260999999999981</v>
      </c>
      <c r="D288" s="162">
        <f t="shared" si="70"/>
        <v>109.26099999999998</v>
      </c>
      <c r="E288" s="162">
        <f t="shared" si="70"/>
        <v>29.760999999999985</v>
      </c>
      <c r="F288" s="162">
        <f>G288+J288</f>
        <v>32.949999999999982</v>
      </c>
      <c r="G288" s="162">
        <f t="shared" ref="G288:H297" si="71">F185</f>
        <v>29.149999999999984</v>
      </c>
      <c r="H288" s="887">
        <f t="shared" si="71"/>
        <v>0.61099999999999999</v>
      </c>
      <c r="I288" s="162">
        <f>M185</f>
        <v>75.7</v>
      </c>
      <c r="J288" s="162">
        <f t="shared" ref="J288:J297" si="72">L185</f>
        <v>3.8</v>
      </c>
      <c r="K288" s="886">
        <f>H288/G288</f>
        <v>2.0960548885077198E-2</v>
      </c>
      <c r="L288" s="889">
        <f t="shared" ref="L288:L297" si="73">F205</f>
        <v>1.0160334346386042</v>
      </c>
      <c r="M288" s="889">
        <f t="shared" ref="M288:M297" si="74">H227</f>
        <v>0.77406950456840629</v>
      </c>
      <c r="N288" s="889">
        <f t="shared" ref="N288:N297" si="75">H257</f>
        <v>1.6224921690953565E-2</v>
      </c>
      <c r="O288" s="40"/>
      <c r="P288" s="890">
        <f>L288</f>
        <v>1.0160334346386042</v>
      </c>
    </row>
    <row r="289" spans="1:22" ht="15" customHeight="1" x14ac:dyDescent="0.2">
      <c r="A289" s="35"/>
      <c r="B289" s="449">
        <v>2</v>
      </c>
      <c r="C289" s="127">
        <f t="shared" si="70"/>
        <v>76.764999999999901</v>
      </c>
      <c r="D289" s="127">
        <f t="shared" si="70"/>
        <v>147.7649999999999</v>
      </c>
      <c r="E289" s="127">
        <f t="shared" si="70"/>
        <v>67.364999999999924</v>
      </c>
      <c r="F289" s="127">
        <f t="shared" ref="F289:F297" si="76">G289+J289</f>
        <v>70.499999999999915</v>
      </c>
      <c r="G289" s="127">
        <f t="shared" si="71"/>
        <v>65.39999999999992</v>
      </c>
      <c r="H289" s="460">
        <f t="shared" si="71"/>
        <v>1.9650000000000001</v>
      </c>
      <c r="I289" s="127">
        <f t="shared" ref="I289:I297" si="77">M186</f>
        <v>75.3</v>
      </c>
      <c r="J289" s="127">
        <f t="shared" si="72"/>
        <v>5.0999999999999996</v>
      </c>
      <c r="K289" s="885">
        <f t="shared" ref="K289:K297" si="78">H289/G289</f>
        <v>3.0045871559633064E-2</v>
      </c>
      <c r="L289" s="585">
        <f t="shared" si="73"/>
        <v>1.0192599070859671</v>
      </c>
      <c r="M289" s="585">
        <f t="shared" si="74"/>
        <v>0.86833868951584448</v>
      </c>
      <c r="N289" s="585">
        <f t="shared" si="75"/>
        <v>2.608999273545316E-2</v>
      </c>
      <c r="O289" s="1"/>
      <c r="P289" s="469">
        <f t="shared" ref="P289:P297" si="79">L289</f>
        <v>1.0192599070859671</v>
      </c>
    </row>
    <row r="290" spans="1:22" ht="15" customHeight="1" x14ac:dyDescent="0.2">
      <c r="A290" s="35"/>
      <c r="B290" s="449">
        <v>3</v>
      </c>
      <c r="C290" s="463">
        <f t="shared" si="70"/>
        <v>102.36999999999995</v>
      </c>
      <c r="D290" s="463">
        <f t="shared" si="70"/>
        <v>173.36999999999995</v>
      </c>
      <c r="E290" s="463">
        <f t="shared" si="70"/>
        <v>92.369999999999976</v>
      </c>
      <c r="F290" s="463">
        <f t="shared" si="76"/>
        <v>95.09999999999998</v>
      </c>
      <c r="G290" s="463">
        <f t="shared" si="71"/>
        <v>88.899999999999977</v>
      </c>
      <c r="H290" s="464">
        <f t="shared" si="71"/>
        <v>3.47</v>
      </c>
      <c r="I290" s="463">
        <f t="shared" si="77"/>
        <v>74.8</v>
      </c>
      <c r="J290" s="463">
        <f t="shared" si="72"/>
        <v>6.2</v>
      </c>
      <c r="K290" s="886">
        <f t="shared" si="78"/>
        <v>3.9032620922384714E-2</v>
      </c>
      <c r="L290" s="586">
        <f t="shared" si="73"/>
        <v>0.90615633590299849</v>
      </c>
      <c r="M290" s="586">
        <f t="shared" si="74"/>
        <v>0.78690427622791692</v>
      </c>
      <c r="N290" s="586">
        <f t="shared" si="75"/>
        <v>3.0714936316207791E-2</v>
      </c>
      <c r="O290" s="1"/>
      <c r="P290" s="470">
        <f t="shared" si="79"/>
        <v>0.90615633590299849</v>
      </c>
    </row>
    <row r="291" spans="1:22" ht="15" customHeight="1" x14ac:dyDescent="0.2">
      <c r="A291" s="35"/>
      <c r="B291" s="449">
        <v>4</v>
      </c>
      <c r="C291" s="463">
        <f t="shared" si="70"/>
        <v>121.11000000000004</v>
      </c>
      <c r="D291" s="463">
        <f t="shared" si="70"/>
        <v>192.11000000000004</v>
      </c>
      <c r="E291" s="463">
        <f t="shared" si="70"/>
        <v>110.51000000000003</v>
      </c>
      <c r="F291" s="463">
        <f t="shared" si="76"/>
        <v>112.50000000000003</v>
      </c>
      <c r="G291" s="463">
        <f t="shared" si="71"/>
        <v>105.40000000000003</v>
      </c>
      <c r="H291" s="464">
        <f t="shared" si="71"/>
        <v>5.1100000000000003</v>
      </c>
      <c r="I291" s="463">
        <f t="shared" si="77"/>
        <v>74.5</v>
      </c>
      <c r="J291" s="463">
        <f t="shared" si="72"/>
        <v>7.1</v>
      </c>
      <c r="K291" s="886">
        <f t="shared" si="78"/>
        <v>4.8481973434535093E-2</v>
      </c>
      <c r="L291" s="586">
        <f t="shared" si="73"/>
        <v>0.80402896728445039</v>
      </c>
      <c r="M291" s="586">
        <f t="shared" si="74"/>
        <v>0.69971634460986354</v>
      </c>
      <c r="N291" s="586">
        <f t="shared" si="75"/>
        <v>3.3923629231085405E-2</v>
      </c>
      <c r="O291" s="1"/>
      <c r="P291" s="470">
        <f t="shared" si="79"/>
        <v>0.80402896728445039</v>
      </c>
    </row>
    <row r="292" spans="1:22" ht="15" customHeight="1" x14ac:dyDescent="0.2">
      <c r="A292" s="35"/>
      <c r="B292" s="449">
        <v>5</v>
      </c>
      <c r="C292" s="127">
        <f t="shared" si="70"/>
        <v>139.65000000000003</v>
      </c>
      <c r="D292" s="127">
        <f t="shared" si="70"/>
        <v>210.65000000000003</v>
      </c>
      <c r="E292" s="127">
        <f t="shared" si="70"/>
        <v>127.65000000000003</v>
      </c>
      <c r="F292" s="127">
        <f t="shared" si="76"/>
        <v>129.15000000000003</v>
      </c>
      <c r="G292" s="127">
        <f t="shared" si="71"/>
        <v>120.65000000000003</v>
      </c>
      <c r="H292" s="460">
        <f t="shared" si="71"/>
        <v>7</v>
      </c>
      <c r="I292" s="127">
        <f t="shared" si="77"/>
        <v>74.5</v>
      </c>
      <c r="J292" s="127">
        <f t="shared" si="72"/>
        <v>8.5</v>
      </c>
      <c r="K292" s="885">
        <f t="shared" si="78"/>
        <v>5.8019063406547847E-2</v>
      </c>
      <c r="L292" s="585">
        <f t="shared" si="73"/>
        <v>0.74169033296192555</v>
      </c>
      <c r="M292" s="585">
        <f t="shared" si="74"/>
        <v>0.64076491064273267</v>
      </c>
      <c r="N292" s="585">
        <f t="shared" si="75"/>
        <v>3.7176579979271672E-2</v>
      </c>
      <c r="O292" s="1"/>
      <c r="P292" s="469">
        <f>L292</f>
        <v>0.74169033296192555</v>
      </c>
    </row>
    <row r="293" spans="1:22" ht="15" customHeight="1" x14ac:dyDescent="0.2">
      <c r="A293" s="35"/>
      <c r="B293" s="449">
        <v>10</v>
      </c>
      <c r="C293" s="463">
        <f t="shared" si="70"/>
        <v>220.48142857142864</v>
      </c>
      <c r="D293" s="463">
        <f t="shared" si="70"/>
        <v>291.48142857142864</v>
      </c>
      <c r="E293" s="463">
        <f t="shared" si="70"/>
        <v>206.28142857142859</v>
      </c>
      <c r="F293" s="463">
        <f t="shared" si="76"/>
        <v>197.44142857142859</v>
      </c>
      <c r="G293" s="463">
        <f t="shared" si="71"/>
        <v>186.84142857142859</v>
      </c>
      <c r="H293" s="464">
        <f t="shared" si="71"/>
        <v>19.440000000000001</v>
      </c>
      <c r="I293" s="463">
        <f t="shared" si="77"/>
        <v>74.599999999999994</v>
      </c>
      <c r="J293" s="463">
        <f t="shared" si="72"/>
        <v>10.6</v>
      </c>
      <c r="K293" s="886">
        <f t="shared" si="78"/>
        <v>0.10404544724709264</v>
      </c>
      <c r="L293" s="586">
        <f t="shared" si="73"/>
        <v>0.58549568266761132</v>
      </c>
      <c r="M293" s="586">
        <f t="shared" si="74"/>
        <v>0.49615180805193509</v>
      </c>
      <c r="N293" s="586">
        <f t="shared" si="75"/>
        <v>5.1622336771217248E-2</v>
      </c>
      <c r="O293" s="1"/>
      <c r="P293" s="470">
        <f t="shared" si="79"/>
        <v>0.58549568266761132</v>
      </c>
    </row>
    <row r="294" spans="1:22" ht="15" customHeight="1" x14ac:dyDescent="0.2">
      <c r="A294" s="35"/>
      <c r="B294" s="449">
        <v>20</v>
      </c>
      <c r="C294" s="463">
        <f t="shared" si="70"/>
        <v>370.03428571428572</v>
      </c>
      <c r="D294" s="463">
        <f t="shared" si="70"/>
        <v>441.03428571428572</v>
      </c>
      <c r="E294" s="463">
        <f t="shared" si="70"/>
        <v>354.13428571428574</v>
      </c>
      <c r="F294" s="463">
        <f t="shared" si="76"/>
        <v>320.33428571428573</v>
      </c>
      <c r="G294" s="463">
        <f t="shared" si="71"/>
        <v>307.93428571428575</v>
      </c>
      <c r="H294" s="464">
        <f t="shared" si="71"/>
        <v>46.2</v>
      </c>
      <c r="I294" s="463">
        <f t="shared" si="77"/>
        <v>74.5</v>
      </c>
      <c r="J294" s="463">
        <f t="shared" si="72"/>
        <v>12.4</v>
      </c>
      <c r="K294" s="886">
        <f t="shared" si="78"/>
        <v>0.15003201054028223</v>
      </c>
      <c r="L294" s="586">
        <f t="shared" si="73"/>
        <v>0.49131910594120443</v>
      </c>
      <c r="M294" s="586">
        <f t="shared" si="74"/>
        <v>0.40885512861489431</v>
      </c>
      <c r="N294" s="586">
        <f t="shared" si="75"/>
        <v>6.1341356965798267E-2</v>
      </c>
      <c r="O294" s="1"/>
      <c r="P294" s="470">
        <f t="shared" si="79"/>
        <v>0.49131910594120443</v>
      </c>
    </row>
    <row r="295" spans="1:22" ht="15" customHeight="1" x14ac:dyDescent="0.2">
      <c r="A295" s="35"/>
      <c r="B295" s="449">
        <v>30</v>
      </c>
      <c r="C295" s="463">
        <f t="shared" si="70"/>
        <v>490.19857142857143</v>
      </c>
      <c r="D295" s="463">
        <f t="shared" si="70"/>
        <v>561.19857142857143</v>
      </c>
      <c r="E295" s="463">
        <f t="shared" si="70"/>
        <v>474.29857142857145</v>
      </c>
      <c r="F295" s="463">
        <f t="shared" si="76"/>
        <v>424.44857142857143</v>
      </c>
      <c r="G295" s="463">
        <f t="shared" si="71"/>
        <v>412.44857142857143</v>
      </c>
      <c r="H295" s="464">
        <f t="shared" si="71"/>
        <v>61.85</v>
      </c>
      <c r="I295" s="463">
        <f t="shared" si="77"/>
        <v>74.900000000000006</v>
      </c>
      <c r="J295" s="463">
        <f t="shared" si="72"/>
        <v>12</v>
      </c>
      <c r="K295" s="886">
        <f t="shared" si="78"/>
        <v>0.14995809001295399</v>
      </c>
      <c r="L295" s="586">
        <f t="shared" si="73"/>
        <v>0.43391280780560598</v>
      </c>
      <c r="M295" s="586">
        <f t="shared" si="74"/>
        <v>0.36508160245358651</v>
      </c>
      <c r="N295" s="586">
        <f t="shared" si="75"/>
        <v>5.4746939802808404E-2</v>
      </c>
      <c r="O295" s="1"/>
      <c r="P295" s="470">
        <f t="shared" si="79"/>
        <v>0.43391280780560598</v>
      </c>
      <c r="R295" s="491" t="s">
        <v>531</v>
      </c>
    </row>
    <row r="296" spans="1:22" ht="15" customHeight="1" x14ac:dyDescent="0.2">
      <c r="A296" s="35"/>
      <c r="B296" s="449">
        <v>40</v>
      </c>
      <c r="C296" s="463">
        <f t="shared" si="70"/>
        <v>601.43428571428569</v>
      </c>
      <c r="D296" s="463">
        <f t="shared" si="70"/>
        <v>672.43428571428569</v>
      </c>
      <c r="E296" s="463">
        <f t="shared" si="70"/>
        <v>584.13428571428574</v>
      </c>
      <c r="F296" s="463">
        <f t="shared" si="76"/>
        <v>520.83428571428567</v>
      </c>
      <c r="G296" s="463">
        <f t="shared" si="71"/>
        <v>507.93428571428569</v>
      </c>
      <c r="H296" s="464">
        <f t="shared" si="71"/>
        <v>76.2</v>
      </c>
      <c r="I296" s="463">
        <f t="shared" si="77"/>
        <v>75.400000000000006</v>
      </c>
      <c r="J296" s="463">
        <f t="shared" si="72"/>
        <v>12.9</v>
      </c>
      <c r="K296" s="886">
        <f t="shared" si="78"/>
        <v>0.15001940633490274</v>
      </c>
      <c r="L296" s="586">
        <f t="shared" si="73"/>
        <v>0.3992821299911799</v>
      </c>
      <c r="M296" s="586">
        <f t="shared" si="74"/>
        <v>0.33720106423341739</v>
      </c>
      <c r="N296" s="586">
        <f t="shared" si="75"/>
        <v>5.0586703471794676E-2</v>
      </c>
      <c r="O296" s="1"/>
      <c r="P296" s="470">
        <f t="shared" si="79"/>
        <v>0.3992821299911799</v>
      </c>
      <c r="R296" s="491" t="s">
        <v>532</v>
      </c>
    </row>
    <row r="297" spans="1:22" ht="15" customHeight="1" x14ac:dyDescent="0.2">
      <c r="A297" s="35"/>
      <c r="B297" s="449">
        <v>50</v>
      </c>
      <c r="C297" s="127">
        <f t="shared" si="70"/>
        <v>711.24142857142851</v>
      </c>
      <c r="D297" s="127">
        <f t="shared" si="70"/>
        <v>782.24142857142851</v>
      </c>
      <c r="E297" s="127">
        <f t="shared" si="70"/>
        <v>692.24142857142851</v>
      </c>
      <c r="F297" s="127">
        <f t="shared" si="76"/>
        <v>615.34142857142854</v>
      </c>
      <c r="G297" s="127">
        <f t="shared" si="71"/>
        <v>601.94142857142856</v>
      </c>
      <c r="H297" s="460">
        <f t="shared" si="71"/>
        <v>90.3</v>
      </c>
      <c r="I297" s="127">
        <f t="shared" si="77"/>
        <v>76.599999999999994</v>
      </c>
      <c r="J297" s="127">
        <f t="shared" si="72"/>
        <v>13.4</v>
      </c>
      <c r="K297" s="885">
        <f t="shared" si="78"/>
        <v>0.15001459562985484</v>
      </c>
      <c r="L297" s="585">
        <f t="shared" si="73"/>
        <v>0.37774499962295605</v>
      </c>
      <c r="M297" s="585">
        <f t="shared" si="74"/>
        <v>0.31968748088746807</v>
      </c>
      <c r="N297" s="585">
        <f t="shared" si="75"/>
        <v>4.7957788173260463E-2</v>
      </c>
      <c r="O297" s="1"/>
      <c r="P297" s="469">
        <f t="shared" si="79"/>
        <v>0.37774499962295605</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633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1"/>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56" t="s">
        <v>638</v>
      </c>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56"/>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56" t="s">
        <v>638</v>
      </c>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1CC0-53DD-47D1-8C15-3BF23E9F503A}">
  <sheetPr transitionEvaluation="1" transitionEntry="1">
    <tabColor theme="5" tint="0.79998168889431442"/>
  </sheetPr>
  <dimension ref="A1:AD404"/>
  <sheetViews>
    <sheetView showGridLines="0" topLeftCell="A281" zoomScale="90" zoomScaleNormal="90" workbookViewId="0">
      <selection activeCell="L288" sqref="L288"/>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14" t="s">
        <v>695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470</v>
      </c>
      <c r="C12" s="440"/>
      <c r="D12" s="478" t="s">
        <v>334</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14</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141_77_37_g</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28.6</v>
      </c>
      <c r="C108" s="106">
        <v>1</v>
      </c>
      <c r="D108" s="175">
        <v>35.299999999999997</v>
      </c>
      <c r="E108" s="38"/>
    </row>
    <row r="109" spans="1:12" ht="15" customHeight="1" x14ac:dyDescent="0.2">
      <c r="B109" s="716">
        <v>66.2</v>
      </c>
      <c r="C109" s="106">
        <v>2</v>
      </c>
      <c r="D109" s="176">
        <v>64.2</v>
      </c>
      <c r="E109" s="605">
        <f>D109/D108</f>
        <v>1.8186968838526913</v>
      </c>
    </row>
    <row r="110" spans="1:12" ht="15" customHeight="1" x14ac:dyDescent="0.2">
      <c r="B110" s="65">
        <v>88.7</v>
      </c>
      <c r="C110" s="106">
        <v>3</v>
      </c>
      <c r="D110" s="717">
        <v>88.1</v>
      </c>
      <c r="E110" s="605">
        <f t="shared" ref="E110:E112" si="9">D110/D109</f>
        <v>1.3722741433021806</v>
      </c>
    </row>
    <row r="111" spans="1:12" ht="15" customHeight="1" x14ac:dyDescent="0.2">
      <c r="B111" s="65">
        <v>105.4</v>
      </c>
      <c r="C111" s="106">
        <v>4</v>
      </c>
      <c r="D111" s="717">
        <v>107.5</v>
      </c>
      <c r="E111" s="605">
        <f t="shared" si="9"/>
        <v>1.2202043132803633</v>
      </c>
    </row>
    <row r="112" spans="1:12" ht="15" customHeight="1" x14ac:dyDescent="0.2">
      <c r="B112" s="716">
        <v>120.5</v>
      </c>
      <c r="C112" s="106">
        <v>5</v>
      </c>
      <c r="D112" s="176">
        <v>123.1</v>
      </c>
      <c r="E112" s="605">
        <f t="shared" si="9"/>
        <v>1.1451162790697673</v>
      </c>
    </row>
    <row r="113" spans="1:8" ht="15" customHeight="1" x14ac:dyDescent="0.2">
      <c r="B113" s="65">
        <v>186.8</v>
      </c>
      <c r="C113" s="106">
        <v>10</v>
      </c>
      <c r="D113" s="177">
        <v>192.2</v>
      </c>
      <c r="E113" s="605">
        <f>(D113/D112)/5</f>
        <v>0.31226645004061737</v>
      </c>
    </row>
    <row r="114" spans="1:8" ht="15" customHeight="1" x14ac:dyDescent="0.2">
      <c r="B114" s="65">
        <v>308.10000000000002</v>
      </c>
      <c r="C114" s="106">
        <v>20</v>
      </c>
      <c r="D114" s="177">
        <v>309.10000000000002</v>
      </c>
      <c r="E114" s="605">
        <f>(D114/D113)/10</f>
        <v>0.16082206035379815</v>
      </c>
    </row>
    <row r="115" spans="1:8" ht="15" customHeight="1" x14ac:dyDescent="0.2">
      <c r="B115" s="65">
        <v>412.2</v>
      </c>
      <c r="C115" s="106">
        <v>30</v>
      </c>
      <c r="D115" s="177">
        <v>413</v>
      </c>
      <c r="E115" s="605">
        <f t="shared" ref="E115:E117" si="10">(D115/D114)/10</f>
        <v>0.13361371724361046</v>
      </c>
    </row>
    <row r="116" spans="1:8" ht="15" customHeight="1" x14ac:dyDescent="0.2">
      <c r="B116" s="65">
        <v>508.1</v>
      </c>
      <c r="C116" s="106">
        <v>40</v>
      </c>
      <c r="D116" s="177">
        <v>508.6</v>
      </c>
      <c r="E116" s="605">
        <f t="shared" si="10"/>
        <v>0.12314769975786925</v>
      </c>
    </row>
    <row r="117" spans="1:8" ht="15" customHeight="1" x14ac:dyDescent="0.2">
      <c r="B117" s="716">
        <v>601.9</v>
      </c>
      <c r="C117" s="106">
        <v>50</v>
      </c>
      <c r="D117" s="176">
        <v>600.70000000000005</v>
      </c>
      <c r="E117" s="605">
        <f t="shared" si="10"/>
        <v>0.11810853322847033</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9.9999999999995079E-2</v>
      </c>
      <c r="F126" s="408">
        <f>INDEX(LINEST(D$139:D$143,($C$139:$C$143)^{1,2,3}),1)</f>
        <v>7.9166666666667413E-4</v>
      </c>
      <c r="H126" t="s">
        <v>300</v>
      </c>
    </row>
    <row r="127" spans="1:8" ht="15" customHeight="1" x14ac:dyDescent="0.2">
      <c r="E127" s="409">
        <f>INDEX(LINEST(D$134:D$138,($C$134:$C$138)^{1,2,3}),2)</f>
        <v>-3.1214285714285221</v>
      </c>
      <c r="F127" s="408">
        <f>INDEX(LINEST(D$139:D$143,($C$139:$C$143)^{1,2,3}),2)</f>
        <v>-0.1126071428571435</v>
      </c>
      <c r="H127" t="s">
        <v>301</v>
      </c>
    </row>
    <row r="128" spans="1:8" ht="15" customHeight="1" x14ac:dyDescent="0.2">
      <c r="E128" s="409">
        <f>INDEX(LINEST(D$134:D$138,($C$134:$C$138)^{1,2,3}),3)</f>
        <v>37.578571428571287</v>
      </c>
      <c r="F128" s="408">
        <f>INDEX(LINEST(D$139:D$143,($C$139:$C$143)^{1,2,3}),3)</f>
        <v>14.514761904761921</v>
      </c>
    </row>
    <row r="129" spans="1:11" ht="15" customHeight="1" x14ac:dyDescent="0.2">
      <c r="E129" s="409">
        <f>INDEX(LINEST(D$134:D$138,($C$134:$C$138)^{1,2,3}),4)</f>
        <v>0.74000000000010946</v>
      </c>
      <c r="F129" s="408">
        <f>INDEX(LINEST(D$139:D$143,($C$139:$C$143)^{1,2,3}),4)</f>
        <v>57.519999999999918</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35.299999999999997</v>
      </c>
      <c r="E134" s="114">
        <f>(E$126*($C134)^3)+(E$127*($C134)^2)+(E$128*($C134)^1)+(E$129)</f>
        <v>35.297142857142866</v>
      </c>
      <c r="F134" s="2"/>
      <c r="H134" s="106">
        <v>1</v>
      </c>
      <c r="I134" s="393">
        <f>E134</f>
        <v>35.297142857142866</v>
      </c>
      <c r="J134" s="109">
        <f>B108</f>
        <v>28.6</v>
      </c>
      <c r="K134" s="410">
        <f>I134-J134</f>
        <v>6.6971428571428646</v>
      </c>
    </row>
    <row r="135" spans="1:11" ht="15" customHeight="1" x14ac:dyDescent="0.2">
      <c r="C135" s="106">
        <v>2</v>
      </c>
      <c r="D135" s="110">
        <f t="shared" ref="D135:D143" si="11">D109</f>
        <v>64.2</v>
      </c>
      <c r="E135" s="114">
        <f>(E$126*($C135)^3)+(E$127*($C135)^2)+(E$128*($C135)^1)+(E$129)</f>
        <v>64.211428571428556</v>
      </c>
      <c r="F135" s="2"/>
      <c r="H135" s="106">
        <v>2</v>
      </c>
      <c r="I135" s="393">
        <f t="shared" ref="I135:I138" si="12">E135</f>
        <v>64.211428571428556</v>
      </c>
      <c r="J135" s="110">
        <f t="shared" ref="J135:J143" si="13">B109</f>
        <v>66.2</v>
      </c>
      <c r="K135" s="411">
        <f t="shared" ref="K135:K143" si="14">I135-J135</f>
        <v>-1.9885714285714471</v>
      </c>
    </row>
    <row r="136" spans="1:11" ht="15" customHeight="1" x14ac:dyDescent="0.2">
      <c r="B136" s="28" t="s">
        <v>308</v>
      </c>
      <c r="C136" s="106">
        <v>3</v>
      </c>
      <c r="D136" s="105">
        <f t="shared" si="11"/>
        <v>88.1</v>
      </c>
      <c r="E136" s="114">
        <f t="shared" ref="E136:E138" si="15">(E$126*($C136)^3)+(E$127*($C136)^2)+(E$128*($C136)^1)+(E$129)</f>
        <v>88.082857142857151</v>
      </c>
      <c r="F136" s="2"/>
      <c r="H136" s="106">
        <v>3</v>
      </c>
      <c r="I136" s="393">
        <f t="shared" si="12"/>
        <v>88.082857142857151</v>
      </c>
      <c r="J136" s="105">
        <f t="shared" si="13"/>
        <v>88.7</v>
      </c>
      <c r="K136" s="412">
        <f t="shared" si="14"/>
        <v>-0.61714285714285211</v>
      </c>
    </row>
    <row r="137" spans="1:11" ht="15" customHeight="1" x14ac:dyDescent="0.2">
      <c r="C137" s="106">
        <v>4</v>
      </c>
      <c r="D137" s="105">
        <f t="shared" si="11"/>
        <v>107.5</v>
      </c>
      <c r="E137" s="114">
        <f t="shared" si="15"/>
        <v>107.5114285714286</v>
      </c>
      <c r="F137" s="2"/>
      <c r="H137" s="106">
        <v>4</v>
      </c>
      <c r="I137" s="393">
        <f t="shared" si="12"/>
        <v>107.5114285714286</v>
      </c>
      <c r="J137" s="105">
        <f t="shared" si="13"/>
        <v>105.4</v>
      </c>
      <c r="K137" s="412">
        <f t="shared" si="14"/>
        <v>2.1114285714285899</v>
      </c>
    </row>
    <row r="138" spans="1:11" ht="15" customHeight="1" x14ac:dyDescent="0.2">
      <c r="C138" s="106">
        <v>5</v>
      </c>
      <c r="D138" s="110">
        <f t="shared" si="11"/>
        <v>123.1</v>
      </c>
      <c r="E138" s="114">
        <f t="shared" si="15"/>
        <v>123.09714285714287</v>
      </c>
      <c r="F138" s="2"/>
      <c r="H138" s="106">
        <v>5</v>
      </c>
      <c r="I138" s="393">
        <f t="shared" si="12"/>
        <v>123.09714285714287</v>
      </c>
      <c r="J138" s="110">
        <f t="shared" si="13"/>
        <v>120.5</v>
      </c>
      <c r="K138" s="411">
        <f t="shared" si="14"/>
        <v>2.5971428571428703</v>
      </c>
    </row>
    <row r="139" spans="1:11" ht="15" customHeight="1" x14ac:dyDescent="0.2">
      <c r="C139" s="106">
        <v>10</v>
      </c>
      <c r="D139" s="105">
        <f t="shared" si="11"/>
        <v>192.2</v>
      </c>
      <c r="E139" s="416"/>
      <c r="F139" s="115">
        <f>(F$126*($C139)^3)+(F$127*($C139)^2)+(F$128*($C139)^1)+(F$129)</f>
        <v>192.19857142857146</v>
      </c>
      <c r="H139" s="106">
        <v>10</v>
      </c>
      <c r="I139" s="393">
        <f>F139</f>
        <v>192.19857142857146</v>
      </c>
      <c r="J139" s="105">
        <f t="shared" si="13"/>
        <v>186.8</v>
      </c>
      <c r="K139" s="412">
        <f t="shared" si="14"/>
        <v>5.3985714285714437</v>
      </c>
    </row>
    <row r="140" spans="1:11" ht="15" customHeight="1" x14ac:dyDescent="0.2">
      <c r="C140" s="106">
        <v>20</v>
      </c>
      <c r="D140" s="105">
        <f t="shared" si="11"/>
        <v>309.10000000000002</v>
      </c>
      <c r="E140" s="2"/>
      <c r="F140" s="115">
        <f t="shared" ref="F140:F143" si="16">(F$126*($C140)^3)+(F$127*($C140)^2)+(F$128*($C140)^1)+(F$129)</f>
        <v>309.10571428571433</v>
      </c>
      <c r="H140" s="106">
        <v>20</v>
      </c>
      <c r="I140" s="393">
        <f t="shared" ref="I140:I143" si="17">F140</f>
        <v>309.10571428571433</v>
      </c>
      <c r="J140" s="105">
        <f t="shared" si="13"/>
        <v>308.10000000000002</v>
      </c>
      <c r="K140" s="412">
        <f t="shared" si="14"/>
        <v>1.0057142857143049</v>
      </c>
    </row>
    <row r="141" spans="1:11" ht="15" customHeight="1" x14ac:dyDescent="0.2">
      <c r="B141" s="28" t="s">
        <v>297</v>
      </c>
      <c r="C141" s="106">
        <v>30</v>
      </c>
      <c r="D141" s="105">
        <f t="shared" si="11"/>
        <v>413</v>
      </c>
      <c r="E141" s="2"/>
      <c r="F141" s="115">
        <f t="shared" si="16"/>
        <v>412.99142857142857</v>
      </c>
      <c r="H141" s="106">
        <v>30</v>
      </c>
      <c r="I141" s="393">
        <f t="shared" si="17"/>
        <v>412.99142857142857</v>
      </c>
      <c r="J141" s="105">
        <f t="shared" si="13"/>
        <v>412.2</v>
      </c>
      <c r="K141" s="412">
        <f t="shared" si="14"/>
        <v>0.79142857142858247</v>
      </c>
    </row>
    <row r="142" spans="1:11" ht="15" customHeight="1" x14ac:dyDescent="0.2">
      <c r="C142" s="106">
        <v>40</v>
      </c>
      <c r="D142" s="105">
        <f t="shared" si="11"/>
        <v>508.6</v>
      </c>
      <c r="E142" s="2"/>
      <c r="F142" s="115">
        <f t="shared" si="16"/>
        <v>508.60571428571427</v>
      </c>
      <c r="H142" s="106">
        <v>40</v>
      </c>
      <c r="I142" s="393">
        <f t="shared" si="17"/>
        <v>508.60571428571427</v>
      </c>
      <c r="J142" s="105">
        <f t="shared" si="13"/>
        <v>508.1</v>
      </c>
      <c r="K142" s="412">
        <f t="shared" si="14"/>
        <v>0.50571428571424804</v>
      </c>
    </row>
    <row r="143" spans="1:11" ht="15" customHeight="1" x14ac:dyDescent="0.2">
      <c r="C143" s="106">
        <v>50</v>
      </c>
      <c r="D143" s="110">
        <f t="shared" si="11"/>
        <v>600.70000000000005</v>
      </c>
      <c r="E143" s="2"/>
      <c r="F143" s="115">
        <f t="shared" si="16"/>
        <v>600.69857142857143</v>
      </c>
      <c r="H143" s="106">
        <v>50</v>
      </c>
      <c r="I143" s="394">
        <f t="shared" si="17"/>
        <v>600.69857142857143</v>
      </c>
      <c r="J143" s="110">
        <f t="shared" si="13"/>
        <v>601.9</v>
      </c>
      <c r="K143" s="411">
        <f t="shared" si="14"/>
        <v>-1.2014285714285506</v>
      </c>
    </row>
    <row r="144" spans="1:11" ht="15" customHeight="1" x14ac:dyDescent="0.2">
      <c r="I144" s="38"/>
    </row>
    <row r="145" spans="1:25" ht="15" customHeight="1" x14ac:dyDescent="0.2">
      <c r="D145" s="602">
        <f>D135/D134</f>
        <v>1.8186968838526913</v>
      </c>
      <c r="E145" s="603">
        <f>D138/D135</f>
        <v>1.9174454828660434</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M150" t="s">
        <v>587</v>
      </c>
      <c r="O150" t="s">
        <v>625</v>
      </c>
      <c r="S150" t="s">
        <v>587</v>
      </c>
      <c r="U150" t="s">
        <v>624</v>
      </c>
    </row>
    <row r="151" spans="1:25" ht="15" customHeight="1" x14ac:dyDescent="0.2">
      <c r="A151" s="64"/>
      <c r="B151" s="56" t="s">
        <v>611</v>
      </c>
      <c r="M151" s="64" t="s">
        <v>580</v>
      </c>
    </row>
    <row r="152" spans="1:25" ht="15" customHeight="1" x14ac:dyDescent="0.2">
      <c r="I152" s="38"/>
      <c r="J152" s="764" t="s">
        <v>490</v>
      </c>
      <c r="K152" s="251"/>
      <c r="L152" s="765" t="s">
        <v>623</v>
      </c>
      <c r="U152" s="844" t="s">
        <v>579</v>
      </c>
    </row>
    <row r="153" spans="1:25" ht="15" customHeight="1" x14ac:dyDescent="0.2">
      <c r="E153" t="s">
        <v>612</v>
      </c>
      <c r="G153" s="368"/>
      <c r="H153" s="369" t="s">
        <v>35</v>
      </c>
      <c r="I153" s="38"/>
      <c r="J153" s="727"/>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36.037142857142868</v>
      </c>
      <c r="D157" s="119">
        <f t="shared" ref="D157:D166" si="18">I134</f>
        <v>35.297142857142866</v>
      </c>
      <c r="E157" s="118">
        <v>0.74</v>
      </c>
      <c r="F157" s="152">
        <f>E157/D157</f>
        <v>2.0964869677837131E-2</v>
      </c>
      <c r="G157" s="374">
        <f t="shared" ref="G157:G166" si="19">G30</f>
        <v>0.9</v>
      </c>
      <c r="H157" s="375">
        <f>E157-G157</f>
        <v>-0.16000000000000003</v>
      </c>
      <c r="J157" s="402">
        <f>C59</f>
        <v>2.1000000000000001E-2</v>
      </c>
      <c r="K157" s="150">
        <f>J157-F157</f>
        <v>3.513032216287057E-5</v>
      </c>
      <c r="M157" s="402">
        <f>C157/D157</f>
        <v>1.0209648696778373</v>
      </c>
      <c r="N157" s="143">
        <f>D157*M157</f>
        <v>36.037142857142868</v>
      </c>
      <c r="O157" s="287">
        <f t="shared" ref="O157:O166" si="20">N157-C157</f>
        <v>0</v>
      </c>
      <c r="P157" s="288">
        <f t="shared" ref="P157:P166" si="21">J157/F157</f>
        <v>1.0016756756756762</v>
      </c>
      <c r="Q157" s="289">
        <f t="shared" ref="Q157:Q166" si="22">P157*E157</f>
        <v>0.74124000000000034</v>
      </c>
      <c r="R157" s="267" t="s">
        <v>200</v>
      </c>
      <c r="U157" s="152">
        <f>E157/D157</f>
        <v>2.0964869677837131E-2</v>
      </c>
      <c r="Y157">
        <f>1.6/1.99</f>
        <v>0.8040201005025126</v>
      </c>
    </row>
    <row r="158" spans="1:25" ht="15" customHeight="1" x14ac:dyDescent="0.2">
      <c r="A158" s="118">
        <v>1.6</v>
      </c>
      <c r="B158" s="106">
        <v>2</v>
      </c>
      <c r="C158" s="120">
        <f t="shared" ref="C158:C166" si="23">D158+E158</f>
        <v>66.136428571428553</v>
      </c>
      <c r="D158" s="120">
        <f t="shared" si="18"/>
        <v>64.211428571428556</v>
      </c>
      <c r="E158" s="118">
        <v>1.925</v>
      </c>
      <c r="F158" s="153">
        <f t="shared" ref="F158:F166" si="24">E158/D158</f>
        <v>2.9979086944914132E-2</v>
      </c>
      <c r="G158" s="376">
        <f t="shared" si="19"/>
        <v>1.6</v>
      </c>
      <c r="H158" s="377">
        <f t="shared" ref="H158:H166" si="25">E158-G158</f>
        <v>0.32499999999999996</v>
      </c>
      <c r="J158" s="402">
        <f t="shared" ref="J158:J166" si="26">C60</f>
        <v>0.03</v>
      </c>
      <c r="K158" s="150">
        <f t="shared" ref="K158:K165" si="27">J158-F158</f>
        <v>2.0913055085867299E-5</v>
      </c>
      <c r="M158" s="402">
        <f t="shared" ref="M158:M166" si="28">C158/D158</f>
        <v>1.0299790869449141</v>
      </c>
      <c r="N158" s="144">
        <f t="shared" ref="N158:N166" si="29">D158*M158</f>
        <v>66.136428571428553</v>
      </c>
      <c r="O158" s="287">
        <f t="shared" si="20"/>
        <v>0</v>
      </c>
      <c r="P158" s="288">
        <f t="shared" si="21"/>
        <v>1.0006975881261593</v>
      </c>
      <c r="Q158" s="290">
        <f t="shared" si="22"/>
        <v>1.9263428571428567</v>
      </c>
      <c r="R158" s="267" t="s">
        <v>312</v>
      </c>
      <c r="U158" s="152">
        <f t="shared" ref="U158:U166" si="30">E158/D158</f>
        <v>2.9979086944914132E-2</v>
      </c>
    </row>
    <row r="159" spans="1:25" ht="15" customHeight="1" x14ac:dyDescent="0.2">
      <c r="A159" s="118">
        <v>2.6</v>
      </c>
      <c r="B159" s="106">
        <v>3</v>
      </c>
      <c r="C159" s="121">
        <f t="shared" si="23"/>
        <v>91.517857142857153</v>
      </c>
      <c r="D159" s="121">
        <f t="shared" si="18"/>
        <v>88.082857142857151</v>
      </c>
      <c r="E159" s="118">
        <v>3.4350000000000001</v>
      </c>
      <c r="F159" s="154">
        <f t="shared" si="24"/>
        <v>3.8997372603717273E-2</v>
      </c>
      <c r="G159" s="378">
        <f t="shared" si="19"/>
        <v>2.6</v>
      </c>
      <c r="H159" s="379">
        <f t="shared" si="25"/>
        <v>0.83499999999999996</v>
      </c>
      <c r="J159" s="402">
        <f t="shared" si="26"/>
        <v>3.9E-2</v>
      </c>
      <c r="K159" s="150">
        <f t="shared" si="27"/>
        <v>2.627396282726957E-6</v>
      </c>
      <c r="M159" s="402">
        <f t="shared" si="28"/>
        <v>1.0389973726037174</v>
      </c>
      <c r="N159" s="145">
        <f t="shared" si="29"/>
        <v>91.517857142857167</v>
      </c>
      <c r="O159" s="287">
        <f t="shared" si="20"/>
        <v>0</v>
      </c>
      <c r="P159" s="288">
        <f t="shared" si="21"/>
        <v>1.0000673736743608</v>
      </c>
      <c r="Q159" s="288">
        <f t="shared" si="22"/>
        <v>3.4352314285714294</v>
      </c>
      <c r="R159" s="267" t="s">
        <v>143</v>
      </c>
      <c r="U159" s="152">
        <f t="shared" si="30"/>
        <v>3.8997372603717273E-2</v>
      </c>
    </row>
    <row r="160" spans="1:25" ht="15" customHeight="1" x14ac:dyDescent="0.2">
      <c r="A160" s="118">
        <v>3.8</v>
      </c>
      <c r="B160" s="106">
        <v>4</v>
      </c>
      <c r="C160" s="121">
        <f t="shared" si="23"/>
        <v>112.72142857142859</v>
      </c>
      <c r="D160" s="121">
        <f t="shared" si="18"/>
        <v>107.5114285714286</v>
      </c>
      <c r="E160" s="118">
        <v>5.21</v>
      </c>
      <c r="F160" s="154">
        <f t="shared" si="24"/>
        <v>4.8459964389167914E-2</v>
      </c>
      <c r="G160" s="378">
        <f t="shared" si="19"/>
        <v>3.8</v>
      </c>
      <c r="H160" s="379">
        <f t="shared" si="25"/>
        <v>1.4100000000000001</v>
      </c>
      <c r="J160" s="402">
        <f t="shared" si="26"/>
        <v>4.8499999999999995E-2</v>
      </c>
      <c r="K160" s="150">
        <f t="shared" si="27"/>
        <v>4.0035610832080126E-5</v>
      </c>
      <c r="M160" s="402">
        <f t="shared" si="28"/>
        <v>1.0484599643891679</v>
      </c>
      <c r="N160" s="145">
        <f t="shared" si="29"/>
        <v>112.72142857142859</v>
      </c>
      <c r="O160" s="287">
        <f t="shared" si="20"/>
        <v>0</v>
      </c>
      <c r="P160" s="288">
        <f t="shared" si="21"/>
        <v>1.0008261584864273</v>
      </c>
      <c r="Q160" s="288">
        <f t="shared" si="22"/>
        <v>5.2143042857142863</v>
      </c>
      <c r="R160" s="88" t="s">
        <v>142</v>
      </c>
      <c r="U160" s="152">
        <f t="shared" si="30"/>
        <v>4.8459964389167914E-2</v>
      </c>
    </row>
    <row r="161" spans="1:25" ht="15" customHeight="1" x14ac:dyDescent="0.2">
      <c r="A161" s="118">
        <v>5.0999999999999996</v>
      </c>
      <c r="B161" s="106">
        <v>5</v>
      </c>
      <c r="C161" s="120">
        <f t="shared" si="23"/>
        <v>130.23714285714286</v>
      </c>
      <c r="D161" s="120">
        <f t="shared" si="18"/>
        <v>123.09714285714287</v>
      </c>
      <c r="E161" s="118">
        <v>7.14</v>
      </c>
      <c r="F161" s="153">
        <f t="shared" si="24"/>
        <v>5.8002970940488341E-2</v>
      </c>
      <c r="G161" s="376">
        <f t="shared" si="19"/>
        <v>5.0999999999999996</v>
      </c>
      <c r="H161" s="377">
        <f t="shared" si="25"/>
        <v>2.04</v>
      </c>
      <c r="J161" s="402">
        <f t="shared" si="26"/>
        <v>5.7999999999999996E-2</v>
      </c>
      <c r="K161" s="150">
        <f t="shared" si="27"/>
        <v>-2.9709404883448975E-6</v>
      </c>
      <c r="M161" s="402">
        <f t="shared" si="28"/>
        <v>1.0580029709404883</v>
      </c>
      <c r="N161" s="144">
        <f t="shared" si="29"/>
        <v>130.23714285714286</v>
      </c>
      <c r="O161" s="287">
        <f t="shared" si="20"/>
        <v>0</v>
      </c>
      <c r="P161" s="288">
        <f t="shared" si="21"/>
        <v>0.99994877951180483</v>
      </c>
      <c r="Q161" s="290">
        <f t="shared" si="22"/>
        <v>7.139634285714286</v>
      </c>
      <c r="U161" s="152">
        <f t="shared" si="30"/>
        <v>5.8002970940488341E-2</v>
      </c>
      <c r="Y161">
        <f>0.9/0.75</f>
        <v>1.2</v>
      </c>
    </row>
    <row r="162" spans="1:25" ht="15" customHeight="1" x14ac:dyDescent="0.2">
      <c r="A162" s="118">
        <v>15.1</v>
      </c>
      <c r="B162" s="106">
        <v>10</v>
      </c>
      <c r="C162" s="121">
        <f t="shared" si="23"/>
        <v>212.18857142857146</v>
      </c>
      <c r="D162" s="121">
        <f t="shared" si="18"/>
        <v>192.19857142857146</v>
      </c>
      <c r="E162" s="118">
        <v>19.989999999999998</v>
      </c>
      <c r="F162" s="154">
        <f t="shared" si="24"/>
        <v>0.10400701655282109</v>
      </c>
      <c r="G162" s="378">
        <f t="shared" si="19"/>
        <v>15.1</v>
      </c>
      <c r="H162" s="379">
        <f t="shared" si="25"/>
        <v>4.8899999999999988</v>
      </c>
      <c r="J162" s="402">
        <f t="shared" si="26"/>
        <v>0.10400000000000001</v>
      </c>
      <c r="K162" s="150">
        <f t="shared" si="27"/>
        <v>-7.0165528210791583E-6</v>
      </c>
      <c r="M162" s="402">
        <f t="shared" si="28"/>
        <v>1.1040070165528211</v>
      </c>
      <c r="N162" s="145">
        <f t="shared" si="29"/>
        <v>212.18857142857146</v>
      </c>
      <c r="O162" s="287">
        <f t="shared" si="20"/>
        <v>0</v>
      </c>
      <c r="P162" s="288">
        <f t="shared" si="21"/>
        <v>0.99993253769742052</v>
      </c>
      <c r="Q162" s="288">
        <f t="shared" si="22"/>
        <v>19.988651428571433</v>
      </c>
      <c r="U162" s="152">
        <f t="shared" si="30"/>
        <v>0.10400701655282109</v>
      </c>
    </row>
    <row r="163" spans="1:25" ht="15" customHeight="1" x14ac:dyDescent="0.2">
      <c r="A163" s="118">
        <v>44</v>
      </c>
      <c r="B163" s="106">
        <v>20</v>
      </c>
      <c r="C163" s="121">
        <f t="shared" si="23"/>
        <v>355.48571428571432</v>
      </c>
      <c r="D163" s="121">
        <f t="shared" si="18"/>
        <v>309.10571428571433</v>
      </c>
      <c r="E163" s="118">
        <v>46.38</v>
      </c>
      <c r="F163" s="154">
        <f t="shared" si="24"/>
        <v>0.15004575411093754</v>
      </c>
      <c r="G163" s="378">
        <f t="shared" si="19"/>
        <v>44</v>
      </c>
      <c r="H163" s="379">
        <f t="shared" si="25"/>
        <v>2.3800000000000026</v>
      </c>
      <c r="J163" s="402">
        <f t="shared" si="26"/>
        <v>0.15</v>
      </c>
      <c r="K163" s="150">
        <f t="shared" si="27"/>
        <v>-4.5754110937545889E-5</v>
      </c>
      <c r="M163" s="402">
        <f t="shared" si="28"/>
        <v>1.1500457541109375</v>
      </c>
      <c r="N163" s="145">
        <f t="shared" si="29"/>
        <v>355.48571428571432</v>
      </c>
      <c r="O163" s="287">
        <f t="shared" si="20"/>
        <v>0</v>
      </c>
      <c r="P163" s="288">
        <f t="shared" si="21"/>
        <v>0.99969506560709664</v>
      </c>
      <c r="Q163" s="288">
        <f t="shared" si="22"/>
        <v>46.365857142857145</v>
      </c>
      <c r="U163" s="152">
        <f t="shared" si="30"/>
        <v>0.15004575411093754</v>
      </c>
    </row>
    <row r="164" spans="1:25" ht="15" customHeight="1" x14ac:dyDescent="0.2">
      <c r="A164" s="118">
        <v>63.1</v>
      </c>
      <c r="B164" s="106">
        <v>30</v>
      </c>
      <c r="C164" s="121">
        <f>D164+E164</f>
        <v>474.94142857142856</v>
      </c>
      <c r="D164" s="121">
        <f t="shared" si="18"/>
        <v>412.99142857142857</v>
      </c>
      <c r="E164" s="118">
        <v>61.95</v>
      </c>
      <c r="F164" s="154">
        <f t="shared" si="24"/>
        <v>0.15000311317426165</v>
      </c>
      <c r="G164" s="378">
        <f t="shared" si="19"/>
        <v>63.1</v>
      </c>
      <c r="H164" s="379">
        <f t="shared" si="25"/>
        <v>-1.1499999999999986</v>
      </c>
      <c r="J164" s="402">
        <f t="shared" si="26"/>
        <v>0.15</v>
      </c>
      <c r="K164" s="150">
        <f t="shared" si="27"/>
        <v>-3.1131742616596902E-6</v>
      </c>
      <c r="M164" s="402">
        <f t="shared" si="28"/>
        <v>1.1500031131742616</v>
      </c>
      <c r="N164" s="145">
        <f t="shared" si="29"/>
        <v>474.94142857142856</v>
      </c>
      <c r="O164" s="287">
        <f t="shared" si="20"/>
        <v>0</v>
      </c>
      <c r="P164" s="288">
        <f t="shared" si="21"/>
        <v>0.99997924593566234</v>
      </c>
      <c r="Q164" s="288">
        <f t="shared" si="22"/>
        <v>61.948714285714281</v>
      </c>
      <c r="U164" s="152">
        <f t="shared" si="30"/>
        <v>0.15000311317426165</v>
      </c>
    </row>
    <row r="165" spans="1:25" ht="15" customHeight="1" x14ac:dyDescent="0.2">
      <c r="A165" s="118">
        <v>78.8</v>
      </c>
      <c r="B165" s="106">
        <v>40</v>
      </c>
      <c r="C165" s="121">
        <f t="shared" si="23"/>
        <v>584.90571428571423</v>
      </c>
      <c r="D165" s="121">
        <f t="shared" si="18"/>
        <v>508.60571428571427</v>
      </c>
      <c r="E165" s="118">
        <v>76.3</v>
      </c>
      <c r="F165" s="154">
        <f t="shared" si="24"/>
        <v>0.15001797631620339</v>
      </c>
      <c r="G165" s="378">
        <f t="shared" si="19"/>
        <v>78.8</v>
      </c>
      <c r="H165" s="379">
        <f t="shared" si="25"/>
        <v>-2.5</v>
      </c>
      <c r="J165" s="402">
        <f t="shared" si="26"/>
        <v>0.15</v>
      </c>
      <c r="K165" s="150">
        <f t="shared" si="27"/>
        <v>-1.7976316203399678E-5</v>
      </c>
      <c r="M165" s="402">
        <f t="shared" si="28"/>
        <v>1.1500179763162033</v>
      </c>
      <c r="N165" s="145">
        <f t="shared" si="29"/>
        <v>584.90571428571423</v>
      </c>
      <c r="O165" s="287">
        <f t="shared" si="20"/>
        <v>0</v>
      </c>
      <c r="P165" s="288">
        <f t="shared" si="21"/>
        <v>0.99988017225238723</v>
      </c>
      <c r="Q165" s="288">
        <f t="shared" si="22"/>
        <v>76.290857142857149</v>
      </c>
      <c r="U165" s="152">
        <f t="shared" si="30"/>
        <v>0.15001797631620339</v>
      </c>
    </row>
    <row r="166" spans="1:25" ht="15" customHeight="1" x14ac:dyDescent="0.2">
      <c r="A166" s="118">
        <v>93.8</v>
      </c>
      <c r="B166" s="106">
        <v>50</v>
      </c>
      <c r="C166" s="120">
        <f t="shared" si="23"/>
        <v>690.79857142857145</v>
      </c>
      <c r="D166" s="120">
        <f t="shared" si="18"/>
        <v>600.69857142857143</v>
      </c>
      <c r="E166" s="118">
        <v>90.1</v>
      </c>
      <c r="F166" s="153">
        <f t="shared" si="24"/>
        <v>0.14999203308528877</v>
      </c>
      <c r="G166" s="380">
        <f t="shared" si="19"/>
        <v>93.8</v>
      </c>
      <c r="H166" s="381">
        <f t="shared" si="25"/>
        <v>-3.7000000000000028</v>
      </c>
      <c r="J166" s="403">
        <f t="shared" si="26"/>
        <v>0.15</v>
      </c>
      <c r="K166" s="151">
        <f>J166-F166</f>
        <v>7.9669147112215732E-6</v>
      </c>
      <c r="M166" s="403">
        <f t="shared" si="28"/>
        <v>1.1499920330852889</v>
      </c>
      <c r="N166" s="146">
        <f t="shared" si="29"/>
        <v>690.79857142857145</v>
      </c>
      <c r="O166" s="287">
        <f t="shared" si="20"/>
        <v>0</v>
      </c>
      <c r="P166" s="288">
        <f t="shared" si="21"/>
        <v>1.0000531155858572</v>
      </c>
      <c r="Q166" s="290">
        <f t="shared" si="22"/>
        <v>90.104785714285725</v>
      </c>
      <c r="U166" s="152">
        <f t="shared" si="30"/>
        <v>0.14999203308528877</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5" customHeight="1" x14ac:dyDescent="0.2">
      <c r="A174" s="90"/>
      <c r="B174" s="28" t="s">
        <v>191</v>
      </c>
      <c r="I174" s="38"/>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
      <c r="D180" s="214" t="s">
        <v>163</v>
      </c>
      <c r="I180" s="38"/>
      <c r="P180" s="804" t="s">
        <v>540</v>
      </c>
    </row>
    <row r="181" spans="2:26" ht="15" customHeight="1" x14ac:dyDescent="0.2">
      <c r="C181" s="27" t="s">
        <v>457</v>
      </c>
      <c r="F181" s="38"/>
      <c r="G181" s="38"/>
      <c r="H181" s="38"/>
      <c r="I181" s="38"/>
      <c r="J181" s="359" t="s">
        <v>269</v>
      </c>
      <c r="K181" s="214"/>
      <c r="L181" s="214"/>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6" ht="15" customHeight="1" x14ac:dyDescent="0.2">
      <c r="B185" s="106">
        <v>1</v>
      </c>
      <c r="C185" s="119">
        <f>(D185-J185)</f>
        <v>54.037142857142868</v>
      </c>
      <c r="D185" s="698">
        <f>(F185+G185+M185+L185)+$E$179</f>
        <v>125.03714285714287</v>
      </c>
      <c r="E185" s="119">
        <f>F185+G185</f>
        <v>36.037142857142868</v>
      </c>
      <c r="F185" s="119">
        <f t="shared" ref="F185:G194" si="31">D157</f>
        <v>35.297142857142866</v>
      </c>
      <c r="G185" s="175">
        <f t="shared" si="31"/>
        <v>0.74</v>
      </c>
      <c r="H185" s="155">
        <f>G185/F185</f>
        <v>2.0964869677837131E-2</v>
      </c>
      <c r="I185" s="119">
        <f>O185</f>
        <v>75.7</v>
      </c>
      <c r="J185" s="694">
        <v>71</v>
      </c>
      <c r="K185" s="690">
        <v>4</v>
      </c>
      <c r="L185" s="507">
        <f>P185</f>
        <v>14</v>
      </c>
      <c r="M185" s="497">
        <v>75</v>
      </c>
      <c r="O185" s="417">
        <v>75.7</v>
      </c>
      <c r="P185" s="766">
        <v>14</v>
      </c>
      <c r="Q185" s="422">
        <v>109</v>
      </c>
      <c r="R185" s="432">
        <f>D185-Q185</f>
        <v>16.037142857142868</v>
      </c>
      <c r="S185" s="433">
        <f t="shared" ref="S185:S194" si="32">G185-G30</f>
        <v>-0.16000000000000003</v>
      </c>
      <c r="T185" s="420">
        <v>13.9</v>
      </c>
      <c r="W185">
        <v>42</v>
      </c>
      <c r="X185">
        <v>37</v>
      </c>
    </row>
    <row r="186" spans="2:26" ht="15" customHeight="1" x14ac:dyDescent="0.2">
      <c r="B186" s="106">
        <v>2</v>
      </c>
      <c r="C186" s="120">
        <f t="shared" ref="C186:C193" si="33">(D186-J186)</f>
        <v>84.136428571428553</v>
      </c>
      <c r="D186" s="699">
        <f t="shared" ref="D186:D193" si="34">(F186+G186+M186+L186)+$E$179</f>
        <v>155.13642857142855</v>
      </c>
      <c r="E186" s="120">
        <f t="shared" ref="E186:E191" si="35">F186+G186</f>
        <v>66.136428571428553</v>
      </c>
      <c r="F186" s="120">
        <f t="shared" si="31"/>
        <v>64.211428571428556</v>
      </c>
      <c r="G186" s="176">
        <f t="shared" si="31"/>
        <v>1.925</v>
      </c>
      <c r="H186" s="156">
        <f t="shared" ref="H186:H194" si="36">G186/F186</f>
        <v>2.9979086944914132E-2</v>
      </c>
      <c r="I186" s="120">
        <f t="shared" ref="I186:I194" si="37">O186</f>
        <v>75.3</v>
      </c>
      <c r="J186" s="695">
        <f>J185</f>
        <v>71</v>
      </c>
      <c r="K186" s="691">
        <v>4</v>
      </c>
      <c r="L186" s="506">
        <f>L185</f>
        <v>14</v>
      </c>
      <c r="M186" s="242">
        <v>75</v>
      </c>
      <c r="O186" s="242">
        <v>75.3</v>
      </c>
      <c r="P186" s="419">
        <v>5.0999999999999996</v>
      </c>
      <c r="Q186" s="423">
        <v>148</v>
      </c>
      <c r="R186" s="434">
        <f t="shared" ref="R186:R194" si="38">D186-Q186</f>
        <v>7.1364285714285529</v>
      </c>
      <c r="S186" s="435">
        <f t="shared" si="32"/>
        <v>0.32499999999999996</v>
      </c>
      <c r="W186">
        <v>57</v>
      </c>
      <c r="X186">
        <v>56</v>
      </c>
    </row>
    <row r="187" spans="2:26" ht="15" customHeight="1" x14ac:dyDescent="0.2">
      <c r="B187" s="106">
        <v>3</v>
      </c>
      <c r="C187" s="121">
        <f t="shared" si="33"/>
        <v>109.51785714285717</v>
      </c>
      <c r="D187" s="700">
        <f>(F187+G187+M187+L187)+$E$179</f>
        <v>180.51785714285717</v>
      </c>
      <c r="E187" s="121">
        <f t="shared" si="35"/>
        <v>91.517857142857153</v>
      </c>
      <c r="F187" s="121">
        <f t="shared" si="31"/>
        <v>88.082857142857151</v>
      </c>
      <c r="G187" s="177">
        <f t="shared" si="31"/>
        <v>3.4350000000000001</v>
      </c>
      <c r="H187" s="157">
        <f t="shared" si="36"/>
        <v>3.8997372603717273E-2</v>
      </c>
      <c r="I187" s="121">
        <f t="shared" si="37"/>
        <v>74.8</v>
      </c>
      <c r="J187" s="696">
        <f t="shared" ref="J187:L194" si="39">J186</f>
        <v>71</v>
      </c>
      <c r="K187" s="692">
        <v>4</v>
      </c>
      <c r="L187" s="318">
        <f t="shared" si="39"/>
        <v>14</v>
      </c>
      <c r="M187" s="243">
        <v>75</v>
      </c>
      <c r="O187" s="243">
        <v>74.8</v>
      </c>
      <c r="P187" s="243">
        <v>6.2</v>
      </c>
      <c r="Q187" s="424">
        <v>172</v>
      </c>
      <c r="R187" s="436">
        <f t="shared" si="38"/>
        <v>8.5178571428571672</v>
      </c>
      <c r="S187" s="437">
        <f t="shared" si="32"/>
        <v>0.83499999999999996</v>
      </c>
      <c r="W187">
        <f>SUM(W183:W186)</f>
        <v>330</v>
      </c>
      <c r="X187">
        <v>43</v>
      </c>
    </row>
    <row r="188" spans="2:26" ht="15" customHeight="1" x14ac:dyDescent="0.2">
      <c r="B188" s="106">
        <v>4</v>
      </c>
      <c r="C188" s="121">
        <f t="shared" si="33"/>
        <v>130.72142857142859</v>
      </c>
      <c r="D188" s="700">
        <f t="shared" si="34"/>
        <v>201.72142857142859</v>
      </c>
      <c r="E188" s="121">
        <f t="shared" si="35"/>
        <v>112.72142857142859</v>
      </c>
      <c r="F188" s="121">
        <f t="shared" si="31"/>
        <v>107.5114285714286</v>
      </c>
      <c r="G188" s="177">
        <f t="shared" si="31"/>
        <v>5.21</v>
      </c>
      <c r="H188" s="157">
        <f t="shared" si="36"/>
        <v>4.8459964389167914E-2</v>
      </c>
      <c r="I188" s="121">
        <f t="shared" si="37"/>
        <v>74.5</v>
      </c>
      <c r="J188" s="696">
        <f t="shared" si="39"/>
        <v>71</v>
      </c>
      <c r="K188" s="692">
        <v>4</v>
      </c>
      <c r="L188" s="318">
        <f t="shared" si="39"/>
        <v>14</v>
      </c>
      <c r="M188" s="243">
        <v>75</v>
      </c>
      <c r="O188" s="243">
        <v>74.5</v>
      </c>
      <c r="P188" s="243">
        <v>7.1</v>
      </c>
      <c r="Q188" s="424">
        <v>191</v>
      </c>
      <c r="R188" s="436">
        <f t="shared" si="38"/>
        <v>10.721428571428589</v>
      </c>
      <c r="S188" s="437">
        <f t="shared" si="32"/>
        <v>1.4100000000000001</v>
      </c>
      <c r="X188">
        <f>SUM(X183:X187)</f>
        <v>367</v>
      </c>
    </row>
    <row r="189" spans="2:26" ht="15" customHeight="1" x14ac:dyDescent="0.2">
      <c r="B189" s="106">
        <v>5</v>
      </c>
      <c r="C189" s="120">
        <f t="shared" si="33"/>
        <v>148.23714285714286</v>
      </c>
      <c r="D189" s="699">
        <f t="shared" si="34"/>
        <v>219.23714285714286</v>
      </c>
      <c r="E189" s="120">
        <f t="shared" si="35"/>
        <v>130.23714285714286</v>
      </c>
      <c r="F189" s="120">
        <f t="shared" si="31"/>
        <v>123.09714285714287</v>
      </c>
      <c r="G189" s="176">
        <f t="shared" si="31"/>
        <v>7.14</v>
      </c>
      <c r="H189" s="156">
        <f t="shared" si="36"/>
        <v>5.8002970940488341E-2</v>
      </c>
      <c r="I189" s="120">
        <f t="shared" si="37"/>
        <v>74.5</v>
      </c>
      <c r="J189" s="695">
        <f t="shared" si="39"/>
        <v>71</v>
      </c>
      <c r="K189" s="691">
        <v>4</v>
      </c>
      <c r="L189" s="317">
        <f t="shared" si="39"/>
        <v>14</v>
      </c>
      <c r="M189" s="242">
        <v>75</v>
      </c>
      <c r="O189" s="242">
        <v>74.5</v>
      </c>
      <c r="P189" s="242">
        <v>8.5</v>
      </c>
      <c r="Q189" s="423">
        <v>209</v>
      </c>
      <c r="R189" s="434">
        <f t="shared" si="38"/>
        <v>10.237142857142857</v>
      </c>
      <c r="S189" s="435">
        <f t="shared" si="32"/>
        <v>2.04</v>
      </c>
    </row>
    <row r="190" spans="2:26" ht="15" customHeight="1" x14ac:dyDescent="0.2">
      <c r="B190" s="106">
        <v>10</v>
      </c>
      <c r="C190" s="121">
        <f t="shared" si="33"/>
        <v>230.18857142857144</v>
      </c>
      <c r="D190" s="700">
        <f t="shared" si="34"/>
        <v>301.18857142857144</v>
      </c>
      <c r="E190" s="121">
        <f t="shared" si="35"/>
        <v>212.18857142857146</v>
      </c>
      <c r="F190" s="121">
        <f t="shared" si="31"/>
        <v>192.19857142857146</v>
      </c>
      <c r="G190" s="177">
        <f t="shared" si="31"/>
        <v>19.989999999999998</v>
      </c>
      <c r="H190" s="157">
        <f t="shared" si="36"/>
        <v>0.10400701655282109</v>
      </c>
      <c r="I190" s="121">
        <f t="shared" si="37"/>
        <v>74.599999999999994</v>
      </c>
      <c r="J190" s="696">
        <f t="shared" si="39"/>
        <v>71</v>
      </c>
      <c r="K190" s="692">
        <v>4</v>
      </c>
      <c r="L190" s="318">
        <f t="shared" si="39"/>
        <v>14</v>
      </c>
      <c r="M190" s="243">
        <v>75</v>
      </c>
      <c r="O190" s="243">
        <v>74.599999999999994</v>
      </c>
      <c r="P190" s="243">
        <v>10.6</v>
      </c>
      <c r="Q190" s="424">
        <v>287</v>
      </c>
      <c r="R190" s="436">
        <f t="shared" si="38"/>
        <v>14.188571428571436</v>
      </c>
      <c r="S190" s="437">
        <f t="shared" si="32"/>
        <v>4.8899999999999988</v>
      </c>
    </row>
    <row r="191" spans="2:26" ht="15" customHeight="1" x14ac:dyDescent="0.2">
      <c r="B191" s="106">
        <v>20</v>
      </c>
      <c r="C191" s="121">
        <f t="shared" si="33"/>
        <v>373.48571428571432</v>
      </c>
      <c r="D191" s="700">
        <f t="shared" si="34"/>
        <v>444.48571428571432</v>
      </c>
      <c r="E191" s="121">
        <f t="shared" si="35"/>
        <v>355.48571428571432</v>
      </c>
      <c r="F191" s="121">
        <f t="shared" si="31"/>
        <v>309.10571428571433</v>
      </c>
      <c r="G191" s="177">
        <f t="shared" si="31"/>
        <v>46.38</v>
      </c>
      <c r="H191" s="157">
        <f t="shared" si="36"/>
        <v>0.15004575411093754</v>
      </c>
      <c r="I191" s="121">
        <f t="shared" si="37"/>
        <v>74.5</v>
      </c>
      <c r="J191" s="696">
        <f t="shared" si="39"/>
        <v>71</v>
      </c>
      <c r="K191" s="692">
        <v>4</v>
      </c>
      <c r="L191" s="318">
        <f t="shared" si="39"/>
        <v>14</v>
      </c>
      <c r="M191" s="243">
        <v>75</v>
      </c>
      <c r="O191" s="243">
        <v>74.5</v>
      </c>
      <c r="P191" s="243">
        <v>12.4</v>
      </c>
      <c r="Q191" s="424">
        <v>439</v>
      </c>
      <c r="R191" s="436">
        <f t="shared" si="38"/>
        <v>5.4857142857143231</v>
      </c>
      <c r="S191" s="437">
        <f t="shared" si="32"/>
        <v>2.3800000000000026</v>
      </c>
      <c r="X191">
        <f>367-330</f>
        <v>37</v>
      </c>
    </row>
    <row r="192" spans="2:26" ht="15" customHeight="1" x14ac:dyDescent="0.2">
      <c r="B192" s="106">
        <v>30</v>
      </c>
      <c r="C192" s="121">
        <f t="shared" si="33"/>
        <v>492.94142857142856</v>
      </c>
      <c r="D192" s="700">
        <f t="shared" si="34"/>
        <v>563.94142857142856</v>
      </c>
      <c r="E192" s="121">
        <f>F192+G192</f>
        <v>474.94142857142856</v>
      </c>
      <c r="F192" s="121">
        <f t="shared" si="31"/>
        <v>412.99142857142857</v>
      </c>
      <c r="G192" s="177">
        <f t="shared" si="31"/>
        <v>61.95</v>
      </c>
      <c r="H192" s="157">
        <f t="shared" si="36"/>
        <v>0.15000311317426165</v>
      </c>
      <c r="I192" s="121">
        <f t="shared" si="37"/>
        <v>74.900000000000006</v>
      </c>
      <c r="J192" s="696">
        <f t="shared" si="39"/>
        <v>71</v>
      </c>
      <c r="K192" s="692">
        <v>4</v>
      </c>
      <c r="L192" s="318">
        <f t="shared" si="39"/>
        <v>14</v>
      </c>
      <c r="M192" s="243">
        <v>75</v>
      </c>
      <c r="O192" s="243">
        <v>74.900000000000006</v>
      </c>
      <c r="P192" s="243">
        <v>12</v>
      </c>
      <c r="Q192" s="424">
        <v>562</v>
      </c>
      <c r="R192" s="436">
        <f t="shared" si="38"/>
        <v>1.9414285714285597</v>
      </c>
      <c r="S192" s="437">
        <f t="shared" si="32"/>
        <v>-1.1499999999999986</v>
      </c>
    </row>
    <row r="193" spans="1:24" ht="15" customHeight="1" x14ac:dyDescent="0.2">
      <c r="B193" s="106">
        <v>40</v>
      </c>
      <c r="C193" s="121">
        <f t="shared" si="33"/>
        <v>603.90571428571423</v>
      </c>
      <c r="D193" s="700">
        <f t="shared" si="34"/>
        <v>674.90571428571423</v>
      </c>
      <c r="E193" s="121">
        <f t="shared" ref="E193:E194" si="40">F193+G193</f>
        <v>584.90571428571423</v>
      </c>
      <c r="F193" s="121">
        <f t="shared" si="31"/>
        <v>508.60571428571427</v>
      </c>
      <c r="G193" s="177">
        <f t="shared" si="31"/>
        <v>76.3</v>
      </c>
      <c r="H193" s="157">
        <f t="shared" si="36"/>
        <v>0.15001797631620339</v>
      </c>
      <c r="I193" s="121">
        <f t="shared" si="37"/>
        <v>75.400000000000006</v>
      </c>
      <c r="J193" s="696">
        <f t="shared" si="39"/>
        <v>71</v>
      </c>
      <c r="K193" s="692">
        <v>4</v>
      </c>
      <c r="L193" s="318">
        <f t="shared" si="39"/>
        <v>14</v>
      </c>
      <c r="M193" s="243">
        <v>76</v>
      </c>
      <c r="O193" s="243">
        <v>75.400000000000006</v>
      </c>
      <c r="P193" s="243">
        <v>12.9</v>
      </c>
      <c r="Q193" s="424">
        <v>675</v>
      </c>
      <c r="R193" s="436">
        <f t="shared" si="38"/>
        <v>-9.4285714285774702E-2</v>
      </c>
      <c r="S193" s="437">
        <f t="shared" si="32"/>
        <v>-2.5</v>
      </c>
      <c r="X193">
        <f>343+37</f>
        <v>380</v>
      </c>
    </row>
    <row r="194" spans="1:24" ht="15" customHeight="1" thickBot="1" x14ac:dyDescent="0.25">
      <c r="B194" s="106">
        <v>50</v>
      </c>
      <c r="C194" s="120">
        <f>(D194-J194)</f>
        <v>710.79857142857145</v>
      </c>
      <c r="D194" s="701">
        <f>(F194+G194+M194+L194)+$E$179</f>
        <v>781.79857142857145</v>
      </c>
      <c r="E194" s="120">
        <f t="shared" si="40"/>
        <v>690.79857142857145</v>
      </c>
      <c r="F194" s="120">
        <f t="shared" si="31"/>
        <v>600.69857142857143</v>
      </c>
      <c r="G194" s="176">
        <f t="shared" si="31"/>
        <v>90.1</v>
      </c>
      <c r="H194" s="156">
        <f t="shared" si="36"/>
        <v>0.14999203308528877</v>
      </c>
      <c r="I194" s="120">
        <f t="shared" si="37"/>
        <v>76.599999999999994</v>
      </c>
      <c r="J194" s="697">
        <f t="shared" si="39"/>
        <v>71</v>
      </c>
      <c r="K194" s="693">
        <v>4</v>
      </c>
      <c r="L194" s="553">
        <f t="shared" si="39"/>
        <v>14</v>
      </c>
      <c r="M194" s="554">
        <v>77</v>
      </c>
      <c r="O194" s="554">
        <v>76.599999999999994</v>
      </c>
      <c r="P194" s="242">
        <v>13.4</v>
      </c>
      <c r="Q194" s="423">
        <v>786</v>
      </c>
      <c r="R194" s="438">
        <f t="shared" si="38"/>
        <v>-4.2014285714285506</v>
      </c>
      <c r="S194" s="439">
        <f t="shared" si="32"/>
        <v>-3.7000000000000028</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2.52</v>
      </c>
      <c r="E205" s="255">
        <v>1</v>
      </c>
      <c r="F205" s="249">
        <v>1.4090885276242389</v>
      </c>
      <c r="G205" s="122">
        <v>1.4090885276242389</v>
      </c>
      <c r="H205" s="34">
        <f>(D206*2.20462*25.4*12)</f>
        <v>3158.2504271999996</v>
      </c>
      <c r="I205" s="5">
        <f>F205*D$205*SQRT(4*D$207*H$205/32.2)/12</f>
        <v>54.037142857142868</v>
      </c>
      <c r="J205" s="1"/>
      <c r="K205" s="22"/>
      <c r="L205" s="96">
        <v>1</v>
      </c>
      <c r="M205" s="92">
        <f>L205*I205</f>
        <v>54.037142857142868</v>
      </c>
      <c r="N205" s="13"/>
      <c r="O205" s="84">
        <v>1</v>
      </c>
      <c r="P205" s="92">
        <f>C185</f>
        <v>54.037142857142868</v>
      </c>
      <c r="Q205" s="254">
        <f>P205/M205</f>
        <v>1</v>
      </c>
      <c r="R205" s="254">
        <f>G205*Q205</f>
        <v>1.4090885276242389</v>
      </c>
      <c r="S205" s="267" t="s">
        <v>138</v>
      </c>
    </row>
    <row r="206" spans="1:24" ht="15" customHeight="1" x14ac:dyDescent="0.2">
      <c r="B206" s="259" t="s">
        <v>7</v>
      </c>
      <c r="C206" s="12" t="s">
        <v>10</v>
      </c>
      <c r="D206" s="444">
        <v>4.7</v>
      </c>
      <c r="E206" s="255">
        <v>2</v>
      </c>
      <c r="F206" s="250">
        <v>1.0969832043923931</v>
      </c>
      <c r="G206" s="123">
        <v>1.0969832043923931</v>
      </c>
      <c r="H206" s="35"/>
      <c r="I206" s="5">
        <f>F206*D$205*SQRT(4*D$207*H$205/32.2)/12</f>
        <v>42.068214285714276</v>
      </c>
      <c r="J206" s="1"/>
      <c r="K206" s="22"/>
      <c r="L206" s="97">
        <v>2</v>
      </c>
      <c r="M206" s="93">
        <f>L206*I206</f>
        <v>84.136428571428553</v>
      </c>
      <c r="N206" s="13"/>
      <c r="O206" s="84">
        <v>2</v>
      </c>
      <c r="P206" s="93">
        <f t="shared" ref="P206:P214" si="41">C186</f>
        <v>84.136428571428553</v>
      </c>
      <c r="Q206" s="254">
        <f t="shared" ref="Q206:Q214" si="42">P206/M206</f>
        <v>1</v>
      </c>
      <c r="R206" s="254">
        <f t="shared" ref="R206:R214" si="43">G206*Q206</f>
        <v>1.0969832043923931</v>
      </c>
      <c r="S206" s="267" t="s">
        <v>139</v>
      </c>
    </row>
    <row r="207" spans="1:24" ht="15" customHeight="1" x14ac:dyDescent="0.2">
      <c r="B207" s="261" t="s">
        <v>8</v>
      </c>
      <c r="C207" s="262" t="s">
        <v>15</v>
      </c>
      <c r="D207" s="263">
        <v>85</v>
      </c>
      <c r="E207" s="255">
        <v>3</v>
      </c>
      <c r="F207" s="249">
        <v>0.9519400169988298</v>
      </c>
      <c r="G207" s="122">
        <v>0.9519400169988298</v>
      </c>
      <c r="H207" s="35"/>
      <c r="I207" s="5">
        <f t="shared" ref="I207:I214" si="44">F207*D$205*SQRT(4*D$207*H$205/32.2)/12</f>
        <v>36.505952380952387</v>
      </c>
      <c r="J207" s="1"/>
      <c r="K207" s="22"/>
      <c r="L207" s="98">
        <v>3</v>
      </c>
      <c r="M207" s="94">
        <f t="shared" ref="M207:M213" si="45">L207*I207</f>
        <v>109.51785714285717</v>
      </c>
      <c r="N207" s="13"/>
      <c r="O207" s="84">
        <v>3</v>
      </c>
      <c r="P207" s="94">
        <f t="shared" si="41"/>
        <v>109.51785714285717</v>
      </c>
      <c r="Q207" s="254">
        <f t="shared" si="42"/>
        <v>1</v>
      </c>
      <c r="R207" s="254">
        <f t="shared" si="43"/>
        <v>0.9519400169988298</v>
      </c>
    </row>
    <row r="208" spans="1:24" ht="15" customHeight="1" x14ac:dyDescent="0.2">
      <c r="E208" s="30">
        <v>4</v>
      </c>
      <c r="F208" s="249">
        <v>0.85218266351356176</v>
      </c>
      <c r="G208" s="122">
        <v>0.85218266351356176</v>
      </c>
      <c r="H208" s="35"/>
      <c r="I208" s="5">
        <f t="shared" si="44"/>
        <v>32.680357142857147</v>
      </c>
      <c r="J208" s="1"/>
      <c r="K208" s="22"/>
      <c r="L208" s="98">
        <v>4</v>
      </c>
      <c r="M208" s="94">
        <f t="shared" si="45"/>
        <v>130.72142857142859</v>
      </c>
      <c r="N208" s="13"/>
      <c r="O208" s="84">
        <v>4</v>
      </c>
      <c r="P208" s="94">
        <f t="shared" si="41"/>
        <v>130.72142857142859</v>
      </c>
      <c r="Q208" s="254">
        <f t="shared" si="42"/>
        <v>1</v>
      </c>
      <c r="R208" s="254">
        <f t="shared" si="43"/>
        <v>0.85218266351356176</v>
      </c>
    </row>
    <row r="209" spans="1:19" ht="15" customHeight="1" x14ac:dyDescent="0.2">
      <c r="B209" s="268" t="s">
        <v>132</v>
      </c>
      <c r="E209" s="30">
        <v>5</v>
      </c>
      <c r="F209" s="250">
        <v>0.77309512059142771</v>
      </c>
      <c r="G209" s="123">
        <v>0.77309512059142771</v>
      </c>
      <c r="H209" s="35"/>
      <c r="I209" s="5">
        <f t="shared" si="44"/>
        <v>29.647428571428566</v>
      </c>
      <c r="J209" s="1"/>
      <c r="K209" s="22"/>
      <c r="L209" s="97">
        <v>5</v>
      </c>
      <c r="M209" s="93">
        <f t="shared" si="45"/>
        <v>148.23714285714283</v>
      </c>
      <c r="N209" s="13"/>
      <c r="O209" s="84">
        <v>5</v>
      </c>
      <c r="P209" s="93">
        <f t="shared" si="41"/>
        <v>148.23714285714286</v>
      </c>
      <c r="Q209" s="254">
        <f t="shared" si="42"/>
        <v>1.0000000000000002</v>
      </c>
      <c r="R209" s="254">
        <f t="shared" si="43"/>
        <v>0.77309512059142793</v>
      </c>
    </row>
    <row r="210" spans="1:19" ht="15" customHeight="1" x14ac:dyDescent="0.2">
      <c r="B210" s="42" t="s">
        <v>131</v>
      </c>
      <c r="E210" s="30">
        <v>10</v>
      </c>
      <c r="F210" s="249">
        <v>0.6002465305164405</v>
      </c>
      <c r="G210" s="122">
        <v>0.6002465305164405</v>
      </c>
      <c r="H210" s="35"/>
      <c r="I210" s="5">
        <f t="shared" si="44"/>
        <v>23.018857142857144</v>
      </c>
      <c r="J210" s="1"/>
      <c r="K210" s="22"/>
      <c r="L210" s="98">
        <v>10</v>
      </c>
      <c r="M210" s="94">
        <f t="shared" si="45"/>
        <v>230.18857142857144</v>
      </c>
      <c r="N210" s="13"/>
      <c r="O210" s="84">
        <v>10</v>
      </c>
      <c r="P210" s="94">
        <f t="shared" si="41"/>
        <v>230.18857142857144</v>
      </c>
      <c r="Q210" s="254">
        <f t="shared" si="42"/>
        <v>1</v>
      </c>
      <c r="R210" s="254">
        <f t="shared" si="43"/>
        <v>0.6002465305164405</v>
      </c>
    </row>
    <row r="211" spans="1:19" ht="15" customHeight="1" x14ac:dyDescent="0.2">
      <c r="E211" s="30">
        <v>20</v>
      </c>
      <c r="F211" s="249">
        <v>0.48695620031470543</v>
      </c>
      <c r="G211" s="122">
        <v>0.48695620031470543</v>
      </c>
      <c r="H211" s="35"/>
      <c r="I211" s="5">
        <f t="shared" si="44"/>
        <v>18.674285714285716</v>
      </c>
      <c r="J211" s="1"/>
      <c r="K211" s="22"/>
      <c r="L211" s="98">
        <v>20</v>
      </c>
      <c r="M211" s="94">
        <f t="shared" si="45"/>
        <v>373.48571428571432</v>
      </c>
      <c r="N211" s="13"/>
      <c r="O211" s="84">
        <v>20</v>
      </c>
      <c r="P211" s="94">
        <f t="shared" si="41"/>
        <v>373.48571428571432</v>
      </c>
      <c r="Q211" s="254">
        <f t="shared" si="42"/>
        <v>1</v>
      </c>
      <c r="R211" s="254">
        <f t="shared" si="43"/>
        <v>0.48695620031470543</v>
      </c>
    </row>
    <row r="212" spans="1:19" ht="15" customHeight="1" x14ac:dyDescent="0.2">
      <c r="E212" s="30">
        <v>30</v>
      </c>
      <c r="F212" s="249">
        <v>0.42846955203078307</v>
      </c>
      <c r="G212" s="122">
        <v>0.42846955203078307</v>
      </c>
      <c r="H212" s="35"/>
      <c r="I212" s="5">
        <f t="shared" si="44"/>
        <v>16.431380952380952</v>
      </c>
      <c r="J212" s="1"/>
      <c r="K212" s="22"/>
      <c r="L212" s="98">
        <v>30</v>
      </c>
      <c r="M212" s="94">
        <f>L212*I212</f>
        <v>492.94142857142856</v>
      </c>
      <c r="N212" s="13"/>
      <c r="O212" s="84">
        <v>30</v>
      </c>
      <c r="P212" s="94">
        <f t="shared" si="41"/>
        <v>492.94142857142856</v>
      </c>
      <c r="Q212" s="254">
        <f t="shared" si="42"/>
        <v>1</v>
      </c>
      <c r="R212" s="254">
        <f t="shared" si="43"/>
        <v>0.42846955203078307</v>
      </c>
    </row>
    <row r="213" spans="1:19" ht="15" customHeight="1" x14ac:dyDescent="0.2">
      <c r="E213" s="30">
        <v>40</v>
      </c>
      <c r="F213" s="249">
        <v>0.39369060278426526</v>
      </c>
      <c r="G213" s="122">
        <v>0.39369060278426526</v>
      </c>
      <c r="H213" s="35"/>
      <c r="I213" s="5">
        <f t="shared" si="44"/>
        <v>15.097642857142853</v>
      </c>
      <c r="J213" s="1"/>
      <c r="K213" s="22"/>
      <c r="L213" s="98">
        <v>40</v>
      </c>
      <c r="M213" s="94">
        <f t="shared" si="45"/>
        <v>603.90571428571411</v>
      </c>
      <c r="N213" s="13"/>
      <c r="O213" s="84">
        <v>40</v>
      </c>
      <c r="P213" s="126">
        <f t="shared" si="41"/>
        <v>603.90571428571423</v>
      </c>
      <c r="Q213" s="254">
        <f t="shared" si="42"/>
        <v>1.0000000000000002</v>
      </c>
      <c r="R213" s="254">
        <f t="shared" si="43"/>
        <v>0.39369060278426538</v>
      </c>
    </row>
    <row r="214" spans="1:19" ht="15" customHeight="1" x14ac:dyDescent="0.2">
      <c r="E214" s="30">
        <v>50</v>
      </c>
      <c r="F214" s="250">
        <v>0.37069987771172658</v>
      </c>
      <c r="G214" s="123">
        <v>0.37069987771172658</v>
      </c>
      <c r="H214" s="36"/>
      <c r="I214" s="23">
        <f t="shared" si="44"/>
        <v>14.215971428571429</v>
      </c>
      <c r="J214" s="24"/>
      <c r="K214" s="17"/>
      <c r="L214" s="99">
        <v>50</v>
      </c>
      <c r="M214" s="100">
        <f>L214*I214</f>
        <v>710.79857142857145</v>
      </c>
      <c r="N214" s="16"/>
      <c r="O214" s="107">
        <v>50</v>
      </c>
      <c r="P214" s="127">
        <f t="shared" si="41"/>
        <v>710.79857142857145</v>
      </c>
      <c r="Q214" s="254">
        <f t="shared" si="42"/>
        <v>1</v>
      </c>
      <c r="R214" s="254">
        <f t="shared" si="43"/>
        <v>0.37069987771172658</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6">D206</f>
        <v>4.7</v>
      </c>
      <c r="C227" s="1" t="s">
        <v>0</v>
      </c>
      <c r="D227" s="22"/>
      <c r="E227" s="71">
        <v>1</v>
      </c>
      <c r="F227" s="55">
        <f>F185</f>
        <v>35.297142857142866</v>
      </c>
      <c r="G227" s="46">
        <f>F227/E227</f>
        <v>35.297142857142866</v>
      </c>
      <c r="H227" s="178">
        <f t="shared" ref="H227:H236" si="47">SQRT(12*32.2*G227^2/(4*$B$228*($B$227*56)*$B$226^2))</f>
        <v>0.92039694769034286</v>
      </c>
      <c r="I227" s="718"/>
      <c r="J227" s="178">
        <v>0.92039694769034286</v>
      </c>
      <c r="K227" s="544">
        <v>1</v>
      </c>
      <c r="L227" s="549">
        <f>J227*$L$225</f>
        <v>0.92039694769034286</v>
      </c>
      <c r="M227" s="5">
        <f>(B227*2.20462*25.4*12)</f>
        <v>3158.2504271999996</v>
      </c>
      <c r="N227" s="74">
        <f t="shared" ref="N227:N236" si="48">L227*B$226*SQRT(4*B$228*M$227/32.2)/12</f>
        <v>35.296307061329145</v>
      </c>
      <c r="O227" s="597">
        <f>K227*N227</f>
        <v>35.296307061329145</v>
      </c>
      <c r="P227" s="591">
        <f t="shared" ref="P227:P236" si="49">M157</f>
        <v>1.0209648696778373</v>
      </c>
      <c r="Q227" s="60">
        <f>P227*O227</f>
        <v>36.036289538978835</v>
      </c>
      <c r="R227" s="166">
        <f>Q227-O227</f>
        <v>0.73998247764968994</v>
      </c>
      <c r="S227" s="169">
        <f>R227/O227</f>
        <v>2.0964869677837186E-2</v>
      </c>
    </row>
    <row r="228" spans="2:19" ht="15" customHeight="1" x14ac:dyDescent="0.2">
      <c r="B228" s="271">
        <f t="shared" si="46"/>
        <v>85</v>
      </c>
      <c r="C228" s="77" t="s">
        <v>1</v>
      </c>
      <c r="D228" s="17"/>
      <c r="E228" s="70">
        <v>2</v>
      </c>
      <c r="F228" s="54">
        <f t="shared" ref="F228:F236" si="50">F186</f>
        <v>64.211428571428556</v>
      </c>
      <c r="G228" s="45">
        <f t="shared" ref="G228:G236" si="51">F228/E228</f>
        <v>32.105714285714278</v>
      </c>
      <c r="H228" s="179">
        <f t="shared" si="47"/>
        <v>0.83717828243454573</v>
      </c>
      <c r="I228" s="718"/>
      <c r="J228" s="179">
        <v>0.83717828243454573</v>
      </c>
      <c r="K228" s="545">
        <v>2</v>
      </c>
      <c r="L228" s="550">
        <f t="shared" ref="L228:L236" si="52">J228*$L$225</f>
        <v>0.83717828243454573</v>
      </c>
      <c r="N228" s="73">
        <f t="shared" si="48"/>
        <v>32.104954059264649</v>
      </c>
      <c r="O228" s="598">
        <f t="shared" ref="O228:O235" si="53">K228*N228</f>
        <v>64.209908118529299</v>
      </c>
      <c r="P228" s="591">
        <f t="shared" si="49"/>
        <v>1.0299790869449141</v>
      </c>
      <c r="Q228" s="59">
        <f t="shared" ref="Q228:Q236" si="54">P228*O228</f>
        <v>66.134862536739632</v>
      </c>
      <c r="R228" s="167">
        <f t="shared" ref="R228:R236" si="55">Q228-O228</f>
        <v>1.9249544182103335</v>
      </c>
      <c r="S228" s="170">
        <f t="shared" ref="S228:S236" si="56">R228/O228</f>
        <v>2.9979086944914069E-2</v>
      </c>
    </row>
    <row r="229" spans="2:19" ht="15" customHeight="1" x14ac:dyDescent="0.2">
      <c r="E229" s="69">
        <v>3</v>
      </c>
      <c r="F229" s="50">
        <f t="shared" si="50"/>
        <v>88.082857142857151</v>
      </c>
      <c r="G229" s="44">
        <f t="shared" si="51"/>
        <v>29.360952380952384</v>
      </c>
      <c r="H229" s="180">
        <f t="shared" si="47"/>
        <v>0.76560675355743291</v>
      </c>
      <c r="I229" s="718"/>
      <c r="J229" s="180">
        <v>0.76560675355743291</v>
      </c>
      <c r="K229" s="546">
        <v>3</v>
      </c>
      <c r="L229" s="551">
        <f t="shared" si="52"/>
        <v>0.76560675355743291</v>
      </c>
      <c r="N229" s="72">
        <f t="shared" si="48"/>
        <v>29.36025714731305</v>
      </c>
      <c r="O229" s="599">
        <f>K229*N229</f>
        <v>88.080771441939149</v>
      </c>
      <c r="P229" s="591">
        <f t="shared" si="49"/>
        <v>1.0389973726037174</v>
      </c>
      <c r="Q229" s="58">
        <f t="shared" si="54"/>
        <v>91.515690105083323</v>
      </c>
      <c r="R229" s="168">
        <f>Q229-O229</f>
        <v>3.4349186631441739</v>
      </c>
      <c r="S229" s="171">
        <f t="shared" si="56"/>
        <v>3.8997372603717426E-2</v>
      </c>
    </row>
    <row r="230" spans="2:19" ht="15" customHeight="1" x14ac:dyDescent="0.2">
      <c r="E230" s="69">
        <v>4</v>
      </c>
      <c r="F230" s="50">
        <f t="shared" si="50"/>
        <v>107.5114285714286</v>
      </c>
      <c r="G230" s="44">
        <f t="shared" si="51"/>
        <v>26.877857142857149</v>
      </c>
      <c r="H230" s="180">
        <f t="shared" si="47"/>
        <v>0.70085836054395156</v>
      </c>
      <c r="I230" s="718"/>
      <c r="J230" s="180">
        <v>0.70085836054395156</v>
      </c>
      <c r="K230" s="546">
        <v>4</v>
      </c>
      <c r="L230" s="551">
        <f t="shared" si="52"/>
        <v>0.70085836054395156</v>
      </c>
      <c r="N230" s="72">
        <f t="shared" si="48"/>
        <v>26.877220706061891</v>
      </c>
      <c r="O230" s="599">
        <f t="shared" si="53"/>
        <v>107.50888282424756</v>
      </c>
      <c r="P230" s="591">
        <f t="shared" si="49"/>
        <v>1.0484599643891679</v>
      </c>
      <c r="Q230" s="58">
        <f t="shared" si="54"/>
        <v>112.71875945742983</v>
      </c>
      <c r="R230" s="168">
        <f>Q230-O230</f>
        <v>5.2098766331822617</v>
      </c>
      <c r="S230" s="171">
        <f t="shared" si="56"/>
        <v>4.8459964389167901E-2</v>
      </c>
    </row>
    <row r="231" spans="2:19" ht="15" customHeight="1" x14ac:dyDescent="0.2">
      <c r="E231" s="70">
        <v>5</v>
      </c>
      <c r="F231" s="54">
        <f t="shared" si="50"/>
        <v>123.09714285714287</v>
      </c>
      <c r="G231" s="45">
        <f t="shared" si="51"/>
        <v>24.619428571428575</v>
      </c>
      <c r="H231" s="179">
        <f t="shared" si="47"/>
        <v>0.64196830329109156</v>
      </c>
      <c r="I231" s="718"/>
      <c r="J231" s="179">
        <v>0.64196830329109156</v>
      </c>
      <c r="K231" s="545">
        <v>5</v>
      </c>
      <c r="L231" s="550">
        <f t="shared" si="52"/>
        <v>0.64196830329109156</v>
      </c>
      <c r="N231" s="73">
        <f t="shared" si="48"/>
        <v>24.618845611628696</v>
      </c>
      <c r="O231" s="598">
        <f t="shared" si="53"/>
        <v>123.09422805814349</v>
      </c>
      <c r="P231" s="591">
        <f t="shared" si="49"/>
        <v>1.0580029709404883</v>
      </c>
      <c r="Q231" s="59">
        <f t="shared" si="54"/>
        <v>130.23405899114184</v>
      </c>
      <c r="R231" s="167">
        <f t="shared" si="55"/>
        <v>7.1398309329983505</v>
      </c>
      <c r="S231" s="170">
        <f t="shared" si="56"/>
        <v>5.8002970940488417E-2</v>
      </c>
    </row>
    <row r="232" spans="2:19" ht="15" customHeight="1" x14ac:dyDescent="0.2">
      <c r="E232" s="69">
        <v>10</v>
      </c>
      <c r="F232" s="50">
        <f t="shared" si="50"/>
        <v>192.19857142857146</v>
      </c>
      <c r="G232" s="44">
        <f t="shared" si="51"/>
        <v>19.219857142857144</v>
      </c>
      <c r="H232" s="180">
        <f t="shared" si="47"/>
        <v>0.50117081489926751</v>
      </c>
      <c r="I232" s="718"/>
      <c r="J232" s="180">
        <v>0.50117081489926751</v>
      </c>
      <c r="K232" s="547">
        <v>10</v>
      </c>
      <c r="L232" s="551">
        <f t="shared" si="52"/>
        <v>0.50117081489926751</v>
      </c>
      <c r="M232" s="41"/>
      <c r="N232" s="76">
        <f t="shared" si="48"/>
        <v>19.219402038708765</v>
      </c>
      <c r="O232" s="600">
        <f t="shared" si="53"/>
        <v>192.19402038708765</v>
      </c>
      <c r="P232" s="591">
        <f t="shared" si="49"/>
        <v>1.1040070165528211</v>
      </c>
      <c r="Q232" s="58">
        <f t="shared" si="54"/>
        <v>212.18354704684072</v>
      </c>
      <c r="R232" s="168">
        <f t="shared" si="55"/>
        <v>19.989526659753068</v>
      </c>
      <c r="S232" s="171">
        <f t="shared" si="56"/>
        <v>0.10400701655282113</v>
      </c>
    </row>
    <row r="233" spans="2:19" ht="15" customHeight="1" x14ac:dyDescent="0.2">
      <c r="E233" s="69">
        <v>20</v>
      </c>
      <c r="F233" s="50">
        <f t="shared" si="50"/>
        <v>309.10571428571433</v>
      </c>
      <c r="G233" s="44">
        <f t="shared" si="51"/>
        <v>15.455285714285717</v>
      </c>
      <c r="H233" s="180">
        <f t="shared" si="47"/>
        <v>0.40300706078911736</v>
      </c>
      <c r="I233" s="718"/>
      <c r="J233" s="180">
        <v>0.40300706078911736</v>
      </c>
      <c r="K233" s="546">
        <v>20</v>
      </c>
      <c r="L233" s="551">
        <f t="shared" si="52"/>
        <v>0.40300706078911736</v>
      </c>
      <c r="N233" s="72">
        <f t="shared" si="48"/>
        <v>15.45491975086618</v>
      </c>
      <c r="O233" s="599">
        <f t="shared" si="53"/>
        <v>309.09839501732358</v>
      </c>
      <c r="P233" s="591">
        <f t="shared" si="49"/>
        <v>1.1500457541109375</v>
      </c>
      <c r="Q233" s="58">
        <f t="shared" si="54"/>
        <v>355.47729679217832</v>
      </c>
      <c r="R233" s="168">
        <f t="shared" si="55"/>
        <v>46.378901774854739</v>
      </c>
      <c r="S233" s="171">
        <f t="shared" si="56"/>
        <v>0.15004575411093743</v>
      </c>
    </row>
    <row r="234" spans="2:19" ht="15" customHeight="1" x14ac:dyDescent="0.2">
      <c r="E234" s="69">
        <v>30</v>
      </c>
      <c r="F234" s="50">
        <f t="shared" si="50"/>
        <v>412.99142857142857</v>
      </c>
      <c r="G234" s="44">
        <f t="shared" si="51"/>
        <v>13.766380952380953</v>
      </c>
      <c r="H234" s="180">
        <f t="shared" si="47"/>
        <v>0.35896772326856607</v>
      </c>
      <c r="I234" s="718"/>
      <c r="J234" s="180">
        <v>0.35896772326856607</v>
      </c>
      <c r="K234" s="546">
        <v>30</v>
      </c>
      <c r="L234" s="551">
        <f t="shared" si="52"/>
        <v>0.35896772326856607</v>
      </c>
      <c r="N234" s="72">
        <f t="shared" si="48"/>
        <v>13.766054980286933</v>
      </c>
      <c r="O234" s="599">
        <f t="shared" si="53"/>
        <v>412.98164940860801</v>
      </c>
      <c r="P234" s="591">
        <f t="shared" si="49"/>
        <v>1.1500031131742616</v>
      </c>
      <c r="Q234" s="58">
        <f t="shared" si="54"/>
        <v>474.9301825037407</v>
      </c>
      <c r="R234" s="168">
        <f t="shared" si="55"/>
        <v>61.948533095132689</v>
      </c>
      <c r="S234" s="171">
        <f t="shared" si="56"/>
        <v>0.15000311317426168</v>
      </c>
    </row>
    <row r="235" spans="2:19" ht="15" customHeight="1" x14ac:dyDescent="0.2">
      <c r="E235" s="69">
        <v>40</v>
      </c>
      <c r="F235" s="50">
        <f t="shared" si="50"/>
        <v>508.60571428571427</v>
      </c>
      <c r="G235" s="44">
        <f t="shared" si="51"/>
        <v>12.715142857142856</v>
      </c>
      <c r="H235" s="180">
        <f t="shared" si="47"/>
        <v>0.33155597671250864</v>
      </c>
      <c r="I235" s="718"/>
      <c r="J235" s="180">
        <v>0.33155597671250864</v>
      </c>
      <c r="K235" s="546">
        <v>40</v>
      </c>
      <c r="L235" s="551">
        <f t="shared" si="52"/>
        <v>0.33155597671250864</v>
      </c>
      <c r="N235" s="72">
        <f t="shared" si="48"/>
        <v>12.714841777159871</v>
      </c>
      <c r="O235" s="599">
        <f t="shared" si="53"/>
        <v>508.59367108639481</v>
      </c>
      <c r="P235" s="591">
        <f t="shared" si="49"/>
        <v>1.1500179763162033</v>
      </c>
      <c r="Q235" s="58">
        <f t="shared" si="54"/>
        <v>584.89186439000446</v>
      </c>
      <c r="R235" s="168">
        <f t="shared" si="55"/>
        <v>76.298193303609651</v>
      </c>
      <c r="S235" s="171">
        <f t="shared" si="56"/>
        <v>0.15001797631620326</v>
      </c>
    </row>
    <row r="236" spans="2:19" ht="15" customHeight="1" thickBot="1" x14ac:dyDescent="0.25">
      <c r="E236" s="70">
        <v>50</v>
      </c>
      <c r="F236" s="54">
        <f t="shared" si="50"/>
        <v>600.69857142857143</v>
      </c>
      <c r="G236" s="45">
        <f t="shared" si="51"/>
        <v>12.013971428571429</v>
      </c>
      <c r="H236" s="179">
        <f t="shared" si="47"/>
        <v>0.31327245599592402</v>
      </c>
      <c r="I236" s="718"/>
      <c r="J236" s="179">
        <v>0.31327245599592402</v>
      </c>
      <c r="K236" s="555">
        <v>50</v>
      </c>
      <c r="L236" s="556">
        <f t="shared" si="52"/>
        <v>0.31327245599592402</v>
      </c>
      <c r="N236" s="557">
        <f t="shared" si="48"/>
        <v>12.01368695152277</v>
      </c>
      <c r="O236" s="601">
        <f>K236*N236</f>
        <v>600.68434757613852</v>
      </c>
      <c r="P236" s="592">
        <f t="shared" si="49"/>
        <v>1.1499920330852889</v>
      </c>
      <c r="Q236" s="59">
        <f t="shared" si="54"/>
        <v>690.78221411159382</v>
      </c>
      <c r="R236" s="167">
        <f t="shared" si="55"/>
        <v>90.097866535455296</v>
      </c>
      <c r="S236" s="170">
        <f t="shared" si="56"/>
        <v>0.14999203308528883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7">E157</f>
        <v>0.74</v>
      </c>
      <c r="S241" s="327">
        <f>R241/R227</f>
        <v>1.0000236794124717</v>
      </c>
    </row>
    <row r="242" spans="1:19" ht="15" customHeight="1" x14ac:dyDescent="0.2">
      <c r="E242" s="323"/>
      <c r="F242" s="324"/>
      <c r="G242" s="323"/>
      <c r="H242" s="325"/>
      <c r="I242" s="41"/>
      <c r="J242" s="325"/>
      <c r="K242" s="323"/>
      <c r="L242" s="325"/>
      <c r="M242" s="41"/>
      <c r="N242" s="324"/>
      <c r="O242" s="324"/>
      <c r="P242" s="326"/>
      <c r="Q242" s="324"/>
      <c r="R242" s="167">
        <f t="shared" si="57"/>
        <v>1.925</v>
      </c>
      <c r="S242" s="327">
        <f t="shared" ref="S242:S250" si="58">R242/R228</f>
        <v>1.0000236794124762</v>
      </c>
    </row>
    <row r="243" spans="1:19" ht="15" customHeight="1" x14ac:dyDescent="0.2">
      <c r="R243" s="168">
        <f t="shared" si="57"/>
        <v>3.4350000000000001</v>
      </c>
      <c r="S243" s="327">
        <f t="shared" si="58"/>
        <v>1.0000236794124702</v>
      </c>
    </row>
    <row r="244" spans="1:19" ht="15" customHeight="1" x14ac:dyDescent="0.2">
      <c r="R244" s="168">
        <f t="shared" si="57"/>
        <v>5.21</v>
      </c>
      <c r="S244" s="327">
        <f t="shared" si="58"/>
        <v>1.0000236794124744</v>
      </c>
    </row>
    <row r="245" spans="1:19" ht="15" customHeight="1" x14ac:dyDescent="0.2">
      <c r="R245" s="167">
        <f t="shared" si="57"/>
        <v>7.14</v>
      </c>
      <c r="S245" s="327">
        <f t="shared" si="58"/>
        <v>1.0000236794124728</v>
      </c>
    </row>
    <row r="246" spans="1:19" ht="15" customHeight="1" x14ac:dyDescent="0.2">
      <c r="R246" s="168">
        <f t="shared" si="57"/>
        <v>19.989999999999998</v>
      </c>
      <c r="S246" s="327">
        <f t="shared" si="58"/>
        <v>1.0000236794124737</v>
      </c>
    </row>
    <row r="247" spans="1:19" ht="15" customHeight="1" x14ac:dyDescent="0.2">
      <c r="F247" s="41"/>
      <c r="G247" s="41"/>
      <c r="H247" s="41"/>
      <c r="I247" s="41"/>
      <c r="J247" s="41"/>
      <c r="K247" s="41"/>
      <c r="L247" s="41"/>
      <c r="M247" s="41"/>
      <c r="N247" s="41"/>
      <c r="O247" s="41"/>
      <c r="P247" s="41"/>
      <c r="R247" s="168">
        <f t="shared" si="57"/>
        <v>46.38</v>
      </c>
      <c r="S247" s="327">
        <f t="shared" si="58"/>
        <v>1.0000236794124751</v>
      </c>
    </row>
    <row r="248" spans="1:19" ht="15" customHeight="1" x14ac:dyDescent="0.2">
      <c r="B248" s="90"/>
      <c r="R248" s="168">
        <f t="shared" si="57"/>
        <v>61.95</v>
      </c>
      <c r="S248" s="327">
        <f t="shared" si="58"/>
        <v>1.0000236794124739</v>
      </c>
    </row>
    <row r="249" spans="1:19" ht="15" customHeight="1" x14ac:dyDescent="0.2">
      <c r="A249" s="90" t="s">
        <v>95</v>
      </c>
      <c r="B249" s="64" t="s">
        <v>178</v>
      </c>
      <c r="R249" s="168">
        <f t="shared" si="57"/>
        <v>76.3</v>
      </c>
      <c r="S249" s="327">
        <f t="shared" si="58"/>
        <v>1.0000236794124753</v>
      </c>
    </row>
    <row r="250" spans="1:19" ht="15" customHeight="1" x14ac:dyDescent="0.2">
      <c r="R250" s="167">
        <f t="shared" si="57"/>
        <v>90.1</v>
      </c>
      <c r="S250" s="327">
        <f t="shared" si="58"/>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4.7</v>
      </c>
      <c r="C257" s="1" t="s">
        <v>0</v>
      </c>
      <c r="D257" s="22"/>
      <c r="E257" s="71">
        <v>1</v>
      </c>
      <c r="F257" s="166">
        <f>G185</f>
        <v>0.74</v>
      </c>
      <c r="G257" s="49">
        <f>F257/E257</f>
        <v>0.74</v>
      </c>
      <c r="H257" s="178">
        <f>SQRT(12*32.2*G257^2/(4*$B$258*($B$257*56)*$B$256^2))</f>
        <v>1.929600206020712E-2</v>
      </c>
      <c r="I257" s="718"/>
      <c r="J257" s="178">
        <v>1.929600206020712E-2</v>
      </c>
      <c r="K257" s="544">
        <v>1</v>
      </c>
      <c r="L257" s="549">
        <f>J257*$L$255</f>
        <v>1.929600206020712E-2</v>
      </c>
      <c r="M257" s="5">
        <f>(B257*2.20462*25.4*12)</f>
        <v>3158.2504271999996</v>
      </c>
      <c r="N257" s="74">
        <f>L257*B$256*SQRT(4*B$258*M$257/32.2)/12</f>
        <v>0.73998247764968816</v>
      </c>
      <c r="O257" s="218">
        <f>K257*N257</f>
        <v>0.73998247764968816</v>
      </c>
      <c r="Q257" s="218">
        <f t="shared" ref="Q257:Q266" si="59">E157</f>
        <v>0.74</v>
      </c>
      <c r="R257" s="327">
        <f>Q257/O257</f>
        <v>1.0000236794124739</v>
      </c>
    </row>
    <row r="258" spans="2:18" ht="15" customHeight="1" x14ac:dyDescent="0.2">
      <c r="B258" s="271">
        <f>D207</f>
        <v>85</v>
      </c>
      <c r="C258" s="77" t="s">
        <v>1</v>
      </c>
      <c r="D258" s="17"/>
      <c r="E258" s="70">
        <v>2</v>
      </c>
      <c r="F258" s="167">
        <f t="shared" ref="F258:F266" si="60">G186</f>
        <v>1.925</v>
      </c>
      <c r="G258" s="48">
        <f t="shared" ref="G258:G266" si="61">F258/E258</f>
        <v>0.96250000000000002</v>
      </c>
      <c r="H258" s="179">
        <f t="shared" ref="H258:H266" si="62">SQRT(12*32.2*G258^2/(4*$B$258*($B$257*56)*$B$256^2))</f>
        <v>2.5097840517499127E-2</v>
      </c>
      <c r="I258" s="718"/>
      <c r="J258" s="179">
        <v>2.5097840517499127E-2</v>
      </c>
      <c r="K258" s="545">
        <v>2</v>
      </c>
      <c r="L258" s="550">
        <f t="shared" ref="L258:L266" si="63">J258*$L$255</f>
        <v>2.5097840517499127E-2</v>
      </c>
      <c r="N258" s="73">
        <f t="shared" ref="N258:N266" si="64">L258*B$256*SQRT(4*B$258*M$257/32.2)/12</f>
        <v>0.96247720910516865</v>
      </c>
      <c r="O258" s="219">
        <f t="shared" ref="O258" si="65">K258*N258</f>
        <v>1.9249544182103373</v>
      </c>
      <c r="Q258" s="219">
        <f t="shared" si="59"/>
        <v>1.925</v>
      </c>
      <c r="R258" s="327">
        <f t="shared" ref="R258:R266" si="66">Q258/O258</f>
        <v>1.0000236794124742</v>
      </c>
    </row>
    <row r="259" spans="2:18" ht="15" customHeight="1" x14ac:dyDescent="0.2">
      <c r="E259" s="69">
        <v>3</v>
      </c>
      <c r="F259" s="168">
        <f t="shared" si="60"/>
        <v>3.4350000000000001</v>
      </c>
      <c r="G259" s="47">
        <f t="shared" si="61"/>
        <v>1.145</v>
      </c>
      <c r="H259" s="180">
        <f t="shared" si="62"/>
        <v>2.9856651836401557E-2</v>
      </c>
      <c r="I259" s="718"/>
      <c r="J259" s="180">
        <v>2.9856651836401557E-2</v>
      </c>
      <c r="K259" s="546">
        <v>3</v>
      </c>
      <c r="L259" s="551">
        <f t="shared" si="63"/>
        <v>2.9856651836401557E-2</v>
      </c>
      <c r="N259" s="72">
        <f t="shared" si="64"/>
        <v>1.1449728877147203</v>
      </c>
      <c r="O259" s="220">
        <f>K259*N259</f>
        <v>3.4349186631441606</v>
      </c>
      <c r="Q259" s="220">
        <f t="shared" si="59"/>
        <v>3.4350000000000001</v>
      </c>
      <c r="R259" s="327">
        <f t="shared" si="66"/>
        <v>1.0000236794124742</v>
      </c>
    </row>
    <row r="260" spans="2:18" ht="15" customHeight="1" x14ac:dyDescent="0.2">
      <c r="E260" s="69">
        <v>4</v>
      </c>
      <c r="F260" s="168">
        <f t="shared" si="60"/>
        <v>5.21</v>
      </c>
      <c r="G260" s="47">
        <f t="shared" si="61"/>
        <v>1.3025</v>
      </c>
      <c r="H260" s="180">
        <f t="shared" si="62"/>
        <v>3.3963571193810507E-2</v>
      </c>
      <c r="I260" s="718"/>
      <c r="J260" s="180">
        <v>3.3963571193810507E-2</v>
      </c>
      <c r="K260" s="546">
        <v>4</v>
      </c>
      <c r="L260" s="551">
        <f t="shared" si="63"/>
        <v>3.3963571193810507E-2</v>
      </c>
      <c r="N260" s="72">
        <f t="shared" si="64"/>
        <v>1.3024691582955661</v>
      </c>
      <c r="O260" s="220">
        <f t="shared" ref="O260:O266" si="67">K260*N260</f>
        <v>5.2098766331822643</v>
      </c>
      <c r="Q260" s="220">
        <f t="shared" si="59"/>
        <v>5.21</v>
      </c>
      <c r="R260" s="327">
        <f t="shared" si="66"/>
        <v>1.0000236794124739</v>
      </c>
    </row>
    <row r="261" spans="2:18" ht="15" customHeight="1" x14ac:dyDescent="0.2">
      <c r="E261" s="70">
        <v>5</v>
      </c>
      <c r="F261" s="167">
        <f t="shared" si="60"/>
        <v>7.14</v>
      </c>
      <c r="G261" s="48">
        <f t="shared" si="61"/>
        <v>1.4279999999999999</v>
      </c>
      <c r="H261" s="179">
        <f t="shared" si="62"/>
        <v>3.7236068840507786E-2</v>
      </c>
      <c r="I261" s="718"/>
      <c r="J261" s="179">
        <v>3.7236068840507786E-2</v>
      </c>
      <c r="K261" s="545">
        <v>5</v>
      </c>
      <c r="L261" s="550">
        <f t="shared" si="63"/>
        <v>3.7236068840507786E-2</v>
      </c>
      <c r="N261" s="73">
        <f t="shared" si="64"/>
        <v>1.427966186599668</v>
      </c>
      <c r="O261" s="219">
        <f t="shared" si="67"/>
        <v>7.1398309329983398</v>
      </c>
      <c r="Q261" s="219">
        <f t="shared" si="59"/>
        <v>7.14</v>
      </c>
      <c r="R261" s="327">
        <f t="shared" si="66"/>
        <v>1.0000236794124744</v>
      </c>
    </row>
    <row r="262" spans="2:18" ht="15" customHeight="1" x14ac:dyDescent="0.2">
      <c r="E262" s="69">
        <v>10</v>
      </c>
      <c r="F262" s="168">
        <f t="shared" si="60"/>
        <v>19.989999999999998</v>
      </c>
      <c r="G262" s="47">
        <f t="shared" si="61"/>
        <v>1.9989999999999999</v>
      </c>
      <c r="H262" s="180">
        <f t="shared" si="62"/>
        <v>5.2125281241018957E-2</v>
      </c>
      <c r="I262" s="718"/>
      <c r="J262" s="180">
        <v>5.2125281241018957E-2</v>
      </c>
      <c r="K262" s="547">
        <v>10</v>
      </c>
      <c r="L262" s="551">
        <f t="shared" si="63"/>
        <v>5.2125281241018957E-2</v>
      </c>
      <c r="M262" s="41"/>
      <c r="N262" s="76">
        <f t="shared" si="64"/>
        <v>1.9989526659753059</v>
      </c>
      <c r="O262" s="221">
        <f t="shared" si="67"/>
        <v>19.989526659753057</v>
      </c>
      <c r="Q262" s="221">
        <f t="shared" si="59"/>
        <v>19.989999999999998</v>
      </c>
      <c r="R262" s="327">
        <f t="shared" si="66"/>
        <v>1.0000236794124742</v>
      </c>
    </row>
    <row r="263" spans="2:18" ht="15" customHeight="1" x14ac:dyDescent="0.2">
      <c r="E263" s="69">
        <v>20</v>
      </c>
      <c r="F263" s="168">
        <f t="shared" si="60"/>
        <v>46.38</v>
      </c>
      <c r="G263" s="47">
        <f t="shared" si="61"/>
        <v>2.319</v>
      </c>
      <c r="H263" s="180">
        <f t="shared" si="62"/>
        <v>6.0469498348135552E-2</v>
      </c>
      <c r="I263" s="718"/>
      <c r="J263" s="180">
        <v>6.0469498348135552E-2</v>
      </c>
      <c r="K263" s="546">
        <v>20</v>
      </c>
      <c r="L263" s="551">
        <f t="shared" si="63"/>
        <v>6.0469498348135552E-2</v>
      </c>
      <c r="N263" s="72">
        <f t="shared" si="64"/>
        <v>2.3189450887427387</v>
      </c>
      <c r="O263" s="220">
        <f t="shared" si="67"/>
        <v>46.378901774854775</v>
      </c>
      <c r="Q263" s="220">
        <f t="shared" si="59"/>
        <v>46.38</v>
      </c>
      <c r="R263" s="327">
        <f t="shared" si="66"/>
        <v>1.0000236794124742</v>
      </c>
    </row>
    <row r="264" spans="2:18" ht="15" customHeight="1" x14ac:dyDescent="0.2">
      <c r="E264" s="69">
        <v>30</v>
      </c>
      <c r="F264" s="168">
        <f t="shared" si="60"/>
        <v>61.95</v>
      </c>
      <c r="G264" s="47">
        <f t="shared" si="61"/>
        <v>2.0649999999999999</v>
      </c>
      <c r="H264" s="180">
        <f t="shared" si="62"/>
        <v>5.3846276019361761E-2</v>
      </c>
      <c r="I264" s="718"/>
      <c r="J264" s="180">
        <v>5.3846276019361761E-2</v>
      </c>
      <c r="K264" s="546">
        <v>30</v>
      </c>
      <c r="L264" s="551">
        <f t="shared" si="63"/>
        <v>5.3846276019361761E-2</v>
      </c>
      <c r="N264" s="72">
        <f t="shared" si="64"/>
        <v>2.0649511031710892</v>
      </c>
      <c r="O264" s="220">
        <f t="shared" si="67"/>
        <v>61.948533095132674</v>
      </c>
      <c r="Q264" s="220">
        <f t="shared" si="59"/>
        <v>61.95</v>
      </c>
      <c r="R264" s="327">
        <f t="shared" si="66"/>
        <v>1.0000236794124742</v>
      </c>
    </row>
    <row r="265" spans="2:18" ht="15" customHeight="1" x14ac:dyDescent="0.2">
      <c r="E265" s="69">
        <v>40</v>
      </c>
      <c r="F265" s="168">
        <f t="shared" si="60"/>
        <v>76.3</v>
      </c>
      <c r="G265" s="47">
        <f t="shared" si="61"/>
        <v>1.9075</v>
      </c>
      <c r="H265" s="180">
        <f t="shared" si="62"/>
        <v>4.973935666195281E-2</v>
      </c>
      <c r="I265" s="718"/>
      <c r="J265" s="180">
        <v>4.973935666195281E-2</v>
      </c>
      <c r="K265" s="546">
        <v>40</v>
      </c>
      <c r="L265" s="551">
        <f t="shared" si="63"/>
        <v>4.973935666195281E-2</v>
      </c>
      <c r="N265" s="72">
        <f t="shared" si="64"/>
        <v>1.9074548325902436</v>
      </c>
      <c r="O265" s="220">
        <f t="shared" si="67"/>
        <v>76.29819330360975</v>
      </c>
      <c r="Q265" s="220">
        <f t="shared" si="59"/>
        <v>76.3</v>
      </c>
      <c r="R265" s="327">
        <f t="shared" si="66"/>
        <v>1.0000236794124739</v>
      </c>
    </row>
    <row r="266" spans="2:18" ht="15" customHeight="1" thickBot="1" x14ac:dyDescent="0.25">
      <c r="E266" s="70">
        <v>50</v>
      </c>
      <c r="F266" s="167">
        <f t="shared" si="60"/>
        <v>90.1</v>
      </c>
      <c r="G266" s="48">
        <f t="shared" si="61"/>
        <v>1.8019999999999998</v>
      </c>
      <c r="H266" s="179">
        <f t="shared" si="62"/>
        <v>4.6988372584450308E-2</v>
      </c>
      <c r="I266" s="718"/>
      <c r="J266" s="179">
        <v>4.6988372584450308E-2</v>
      </c>
      <c r="K266" s="555">
        <v>50</v>
      </c>
      <c r="L266" s="556">
        <f t="shared" si="63"/>
        <v>4.6988372584450308E-2</v>
      </c>
      <c r="N266" s="557">
        <f t="shared" si="64"/>
        <v>1.8019573307091052</v>
      </c>
      <c r="O266" s="219">
        <f t="shared" si="67"/>
        <v>90.097866535455267</v>
      </c>
      <c r="Q266" s="219">
        <f t="shared" si="59"/>
        <v>90.1</v>
      </c>
      <c r="R266" s="327">
        <f t="shared" si="66"/>
        <v>1.0000236794124742</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8" ht="15" customHeight="1" x14ac:dyDescent="0.2">
      <c r="A273" s="51"/>
      <c r="B273" s="9"/>
      <c r="C273" s="9"/>
      <c r="D273" s="9"/>
      <c r="E273" s="9"/>
      <c r="F273" s="9"/>
      <c r="G273" s="9"/>
      <c r="H273" s="9"/>
      <c r="I273" s="9"/>
      <c r="J273" s="9"/>
      <c r="K273" s="9"/>
      <c r="L273" s="9"/>
      <c r="M273" s="9"/>
      <c r="N273" s="9"/>
      <c r="O273" s="272"/>
      <c r="P273" s="10"/>
    </row>
    <row r="274" spans="1:18" ht="15" customHeight="1" x14ac:dyDescent="0.25">
      <c r="A274" s="35"/>
      <c r="B274" s="914" t="s">
        <v>695</v>
      </c>
      <c r="C274" s="1"/>
      <c r="D274" s="1"/>
      <c r="E274" s="1"/>
      <c r="F274" s="1"/>
      <c r="G274" s="1"/>
      <c r="H274" s="1"/>
      <c r="I274" s="1"/>
      <c r="J274" s="1"/>
      <c r="K274" s="1"/>
      <c r="L274" s="1"/>
      <c r="M274" s="1"/>
      <c r="N274" s="1"/>
      <c r="O274" s="334" t="s">
        <v>195</v>
      </c>
      <c r="P274" s="687" t="s">
        <v>525</v>
      </c>
    </row>
    <row r="275" spans="1:18" ht="15" customHeight="1" x14ac:dyDescent="0.2">
      <c r="A275" s="35"/>
      <c r="B275" s="1"/>
      <c r="C275" s="1"/>
      <c r="D275" s="1"/>
      <c r="E275" s="1"/>
      <c r="F275" s="1"/>
      <c r="G275" s="1"/>
      <c r="H275" s="1"/>
      <c r="I275" s="1"/>
      <c r="J275" s="1"/>
      <c r="K275" s="1"/>
      <c r="L275" s="1"/>
      <c r="M275" s="1"/>
      <c r="N275" s="1"/>
      <c r="O275" s="273"/>
      <c r="P275" s="22"/>
    </row>
    <row r="276" spans="1:18"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8" ht="15" customHeight="1" x14ac:dyDescent="0.25">
      <c r="A277" s="274"/>
      <c r="B277" s="275" t="str">
        <f>B9</f>
        <v>3694s</v>
      </c>
      <c r="C277" s="1"/>
      <c r="D277" s="1"/>
      <c r="E277" s="1"/>
      <c r="F277" s="1"/>
      <c r="G277" s="1"/>
      <c r="H277" s="1"/>
      <c r="I277" s="1"/>
      <c r="J277" s="1"/>
      <c r="K277" s="276"/>
      <c r="L277" s="1"/>
      <c r="M277" s="1"/>
      <c r="N277" s="1"/>
      <c r="O277" s="330"/>
      <c r="P277" s="22"/>
      <c r="R277" s="918" t="s">
        <v>698</v>
      </c>
    </row>
    <row r="278" spans="1:18" ht="15" customHeight="1" x14ac:dyDescent="0.25">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c r="R278" s="919" t="s">
        <v>700</v>
      </c>
    </row>
    <row r="279" spans="1:18"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8"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8"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8" ht="15" customHeight="1" x14ac:dyDescent="0.2">
      <c r="A282" s="35"/>
      <c r="B282" s="275" t="s">
        <v>0</v>
      </c>
      <c r="C282" s="688">
        <f>D206</f>
        <v>4.7</v>
      </c>
      <c r="D282" s="1"/>
      <c r="E282" s="1"/>
      <c r="F282" s="1"/>
      <c r="G282" s="1"/>
      <c r="H282" s="1"/>
      <c r="I282" s="441" t="s">
        <v>630</v>
      </c>
      <c r="J282" s="1"/>
      <c r="K282" s="1"/>
      <c r="L282" s="1"/>
      <c r="M282" s="1"/>
      <c r="N282" s="1"/>
      <c r="O282" s="1"/>
      <c r="P282" s="22"/>
    </row>
    <row r="283" spans="1:18"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8" ht="15" customHeight="1" x14ac:dyDescent="0.2">
      <c r="A284" s="35"/>
      <c r="B284" s="1"/>
      <c r="C284" s="1"/>
      <c r="D284" s="1"/>
      <c r="E284" s="1"/>
      <c r="F284" s="1"/>
      <c r="G284" s="1"/>
      <c r="H284" s="446" t="str">
        <f>J155</f>
        <v xml:space="preserve"> 1-6-15</v>
      </c>
      <c r="I284" s="1"/>
      <c r="J284" s="1"/>
      <c r="K284" s="1"/>
      <c r="L284" s="1"/>
      <c r="M284" s="1"/>
      <c r="N284" s="1"/>
      <c r="O284" s="1"/>
      <c r="P284" s="22"/>
    </row>
    <row r="285" spans="1:18" ht="15" customHeight="1" x14ac:dyDescent="0.2">
      <c r="A285" s="300" t="s">
        <v>151</v>
      </c>
      <c r="B285" s="448">
        <f>D206</f>
        <v>4.7</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8"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8"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8" ht="15" customHeight="1" x14ac:dyDescent="0.2">
      <c r="A288" s="35"/>
      <c r="B288" s="449">
        <v>1</v>
      </c>
      <c r="C288" s="162">
        <f t="shared" ref="C288:E297" si="68">C185</f>
        <v>54.037142857142868</v>
      </c>
      <c r="D288" s="162">
        <f t="shared" si="68"/>
        <v>125.03714285714287</v>
      </c>
      <c r="E288" s="162">
        <f t="shared" si="68"/>
        <v>36.037142857142868</v>
      </c>
      <c r="F288" s="162">
        <f>G288+J288</f>
        <v>49.297142857142866</v>
      </c>
      <c r="G288" s="162">
        <f t="shared" ref="G288:H297" si="69">F185</f>
        <v>35.297142857142866</v>
      </c>
      <c r="H288" s="887">
        <f t="shared" si="69"/>
        <v>0.74</v>
      </c>
      <c r="I288" s="888">
        <f>M185</f>
        <v>75</v>
      </c>
      <c r="J288" s="162">
        <f t="shared" ref="J288:J297" si="70">L185</f>
        <v>14</v>
      </c>
      <c r="K288" s="886">
        <f>H288/G288</f>
        <v>2.0964869677837131E-2</v>
      </c>
      <c r="L288" s="889">
        <f t="shared" ref="L288:L297" si="71">F205</f>
        <v>1.4090885276242389</v>
      </c>
      <c r="M288" s="889">
        <f t="shared" ref="M288:M297" si="72">H227</f>
        <v>0.92039694769034286</v>
      </c>
      <c r="N288" s="889">
        <f t="shared" ref="N288:N297" si="73">H257</f>
        <v>1.929600206020712E-2</v>
      </c>
      <c r="O288" s="40"/>
      <c r="P288" s="890">
        <f>L288</f>
        <v>1.4090885276242389</v>
      </c>
    </row>
    <row r="289" spans="1:22" ht="15" customHeight="1" x14ac:dyDescent="0.2">
      <c r="A289" s="35"/>
      <c r="B289" s="449">
        <v>2</v>
      </c>
      <c r="C289" s="127">
        <f t="shared" si="68"/>
        <v>84.136428571428553</v>
      </c>
      <c r="D289" s="127">
        <f t="shared" si="68"/>
        <v>155.13642857142855</v>
      </c>
      <c r="E289" s="127">
        <f t="shared" si="68"/>
        <v>66.136428571428553</v>
      </c>
      <c r="F289" s="127">
        <f t="shared" ref="F289:F297" si="74">G289+J289</f>
        <v>78.211428571428556</v>
      </c>
      <c r="G289" s="127">
        <f t="shared" si="69"/>
        <v>64.211428571428556</v>
      </c>
      <c r="H289" s="460">
        <f t="shared" si="69"/>
        <v>1.925</v>
      </c>
      <c r="I289" s="461">
        <f t="shared" ref="I289:I297" si="75">M186</f>
        <v>75</v>
      </c>
      <c r="J289" s="127">
        <f t="shared" si="70"/>
        <v>14</v>
      </c>
      <c r="K289" s="885">
        <f t="shared" ref="K289:K297" si="76">H289/G289</f>
        <v>2.9979086944914132E-2</v>
      </c>
      <c r="L289" s="585">
        <f t="shared" si="71"/>
        <v>1.0969832043923931</v>
      </c>
      <c r="M289" s="585">
        <f t="shared" si="72"/>
        <v>0.83717828243454573</v>
      </c>
      <c r="N289" s="585">
        <f t="shared" si="73"/>
        <v>2.5097840517499127E-2</v>
      </c>
      <c r="O289" s="1"/>
      <c r="P289" s="469">
        <f t="shared" ref="P289:P297" si="77">L289</f>
        <v>1.0969832043923931</v>
      </c>
    </row>
    <row r="290" spans="1:22" ht="15" customHeight="1" x14ac:dyDescent="0.2">
      <c r="A290" s="35"/>
      <c r="B290" s="449">
        <v>3</v>
      </c>
      <c r="C290" s="463">
        <f t="shared" si="68"/>
        <v>109.51785714285717</v>
      </c>
      <c r="D290" s="463">
        <f t="shared" si="68"/>
        <v>180.51785714285717</v>
      </c>
      <c r="E290" s="463">
        <f t="shared" si="68"/>
        <v>91.517857142857153</v>
      </c>
      <c r="F290" s="463">
        <f t="shared" si="74"/>
        <v>102.08285714285715</v>
      </c>
      <c r="G290" s="463">
        <f t="shared" si="69"/>
        <v>88.082857142857151</v>
      </c>
      <c r="H290" s="464">
        <f t="shared" si="69"/>
        <v>3.4350000000000001</v>
      </c>
      <c r="I290" s="465">
        <f t="shared" si="75"/>
        <v>75</v>
      </c>
      <c r="J290" s="463">
        <f t="shared" si="70"/>
        <v>14</v>
      </c>
      <c r="K290" s="886">
        <f t="shared" si="76"/>
        <v>3.8997372603717273E-2</v>
      </c>
      <c r="L290" s="586">
        <f t="shared" si="71"/>
        <v>0.9519400169988298</v>
      </c>
      <c r="M290" s="586">
        <f t="shared" si="72"/>
        <v>0.76560675355743291</v>
      </c>
      <c r="N290" s="586">
        <f t="shared" si="73"/>
        <v>2.9856651836401557E-2</v>
      </c>
      <c r="O290" s="1"/>
      <c r="P290" s="470">
        <f t="shared" si="77"/>
        <v>0.9519400169988298</v>
      </c>
    </row>
    <row r="291" spans="1:22" ht="15" customHeight="1" x14ac:dyDescent="0.2">
      <c r="A291" s="35"/>
      <c r="B291" s="449">
        <v>4</v>
      </c>
      <c r="C291" s="463">
        <f t="shared" si="68"/>
        <v>130.72142857142859</v>
      </c>
      <c r="D291" s="463">
        <f t="shared" si="68"/>
        <v>201.72142857142859</v>
      </c>
      <c r="E291" s="463">
        <f t="shared" si="68"/>
        <v>112.72142857142859</v>
      </c>
      <c r="F291" s="463">
        <f t="shared" si="74"/>
        <v>121.5114285714286</v>
      </c>
      <c r="G291" s="463">
        <f t="shared" si="69"/>
        <v>107.5114285714286</v>
      </c>
      <c r="H291" s="464">
        <f t="shared" si="69"/>
        <v>5.21</v>
      </c>
      <c r="I291" s="465">
        <f t="shared" si="75"/>
        <v>75</v>
      </c>
      <c r="J291" s="463">
        <f t="shared" si="70"/>
        <v>14</v>
      </c>
      <c r="K291" s="886">
        <f t="shared" si="76"/>
        <v>4.8459964389167914E-2</v>
      </c>
      <c r="L291" s="586">
        <f t="shared" si="71"/>
        <v>0.85218266351356176</v>
      </c>
      <c r="M291" s="586">
        <f t="shared" si="72"/>
        <v>0.70085836054395156</v>
      </c>
      <c r="N291" s="586">
        <f t="shared" si="73"/>
        <v>3.3963571193810507E-2</v>
      </c>
      <c r="O291" s="1"/>
      <c r="P291" s="470">
        <f t="shared" si="77"/>
        <v>0.85218266351356176</v>
      </c>
    </row>
    <row r="292" spans="1:22" ht="15" customHeight="1" x14ac:dyDescent="0.2">
      <c r="A292" s="35"/>
      <c r="B292" s="449">
        <v>5</v>
      </c>
      <c r="C292" s="127">
        <f t="shared" si="68"/>
        <v>148.23714285714286</v>
      </c>
      <c r="D292" s="127">
        <f t="shared" si="68"/>
        <v>219.23714285714286</v>
      </c>
      <c r="E292" s="127">
        <f t="shared" si="68"/>
        <v>130.23714285714286</v>
      </c>
      <c r="F292" s="127">
        <f t="shared" si="74"/>
        <v>137.09714285714287</v>
      </c>
      <c r="G292" s="127">
        <f t="shared" si="69"/>
        <v>123.09714285714287</v>
      </c>
      <c r="H292" s="460">
        <f t="shared" si="69"/>
        <v>7.14</v>
      </c>
      <c r="I292" s="461">
        <f t="shared" si="75"/>
        <v>75</v>
      </c>
      <c r="J292" s="127">
        <f t="shared" si="70"/>
        <v>14</v>
      </c>
      <c r="K292" s="885">
        <f t="shared" si="76"/>
        <v>5.8002970940488341E-2</v>
      </c>
      <c r="L292" s="585">
        <f t="shared" si="71"/>
        <v>0.77309512059142771</v>
      </c>
      <c r="M292" s="585">
        <f t="shared" si="72"/>
        <v>0.64196830329109156</v>
      </c>
      <c r="N292" s="585">
        <f t="shared" si="73"/>
        <v>3.7236068840507786E-2</v>
      </c>
      <c r="O292" s="1"/>
      <c r="P292" s="469">
        <f>L292</f>
        <v>0.77309512059142771</v>
      </c>
    </row>
    <row r="293" spans="1:22" ht="15" customHeight="1" x14ac:dyDescent="0.2">
      <c r="A293" s="35"/>
      <c r="B293" s="449">
        <v>10</v>
      </c>
      <c r="C293" s="463">
        <f t="shared" si="68"/>
        <v>230.18857142857144</v>
      </c>
      <c r="D293" s="463">
        <f t="shared" si="68"/>
        <v>301.18857142857144</v>
      </c>
      <c r="E293" s="463">
        <f t="shared" si="68"/>
        <v>212.18857142857146</v>
      </c>
      <c r="F293" s="463">
        <f t="shared" si="74"/>
        <v>206.19857142857146</v>
      </c>
      <c r="G293" s="463">
        <f t="shared" si="69"/>
        <v>192.19857142857146</v>
      </c>
      <c r="H293" s="464">
        <f t="shared" si="69"/>
        <v>19.989999999999998</v>
      </c>
      <c r="I293" s="465">
        <f t="shared" si="75"/>
        <v>75</v>
      </c>
      <c r="J293" s="463">
        <f t="shared" si="70"/>
        <v>14</v>
      </c>
      <c r="K293" s="886">
        <f t="shared" si="76"/>
        <v>0.10400701655282109</v>
      </c>
      <c r="L293" s="586">
        <f t="shared" si="71"/>
        <v>0.6002465305164405</v>
      </c>
      <c r="M293" s="586">
        <f t="shared" si="72"/>
        <v>0.50117081489926751</v>
      </c>
      <c r="N293" s="586">
        <f t="shared" si="73"/>
        <v>5.2125281241018957E-2</v>
      </c>
      <c r="O293" s="1"/>
      <c r="P293" s="470">
        <f t="shared" si="77"/>
        <v>0.6002465305164405</v>
      </c>
    </row>
    <row r="294" spans="1:22" ht="15" customHeight="1" x14ac:dyDescent="0.2">
      <c r="A294" s="35"/>
      <c r="B294" s="449">
        <v>20</v>
      </c>
      <c r="C294" s="463">
        <f t="shared" si="68"/>
        <v>373.48571428571432</v>
      </c>
      <c r="D294" s="463">
        <f t="shared" si="68"/>
        <v>444.48571428571432</v>
      </c>
      <c r="E294" s="463">
        <f t="shared" si="68"/>
        <v>355.48571428571432</v>
      </c>
      <c r="F294" s="463">
        <f t="shared" si="74"/>
        <v>323.10571428571433</v>
      </c>
      <c r="G294" s="463">
        <f t="shared" si="69"/>
        <v>309.10571428571433</v>
      </c>
      <c r="H294" s="464">
        <f t="shared" si="69"/>
        <v>46.38</v>
      </c>
      <c r="I294" s="465">
        <f t="shared" si="75"/>
        <v>75</v>
      </c>
      <c r="J294" s="463">
        <f t="shared" si="70"/>
        <v>14</v>
      </c>
      <c r="K294" s="886">
        <f t="shared" si="76"/>
        <v>0.15004575411093754</v>
      </c>
      <c r="L294" s="586">
        <f t="shared" si="71"/>
        <v>0.48695620031470543</v>
      </c>
      <c r="M294" s="586">
        <f t="shared" si="72"/>
        <v>0.40300706078911736</v>
      </c>
      <c r="N294" s="586">
        <f t="shared" si="73"/>
        <v>6.0469498348135552E-2</v>
      </c>
      <c r="O294" s="1"/>
      <c r="P294" s="470">
        <f t="shared" si="77"/>
        <v>0.48695620031470543</v>
      </c>
    </row>
    <row r="295" spans="1:22" ht="15" customHeight="1" x14ac:dyDescent="0.2">
      <c r="A295" s="35"/>
      <c r="B295" s="449">
        <v>30</v>
      </c>
      <c r="C295" s="463">
        <f t="shared" si="68"/>
        <v>492.94142857142856</v>
      </c>
      <c r="D295" s="463">
        <f t="shared" si="68"/>
        <v>563.94142857142856</v>
      </c>
      <c r="E295" s="463">
        <f t="shared" si="68"/>
        <v>474.94142857142856</v>
      </c>
      <c r="F295" s="463">
        <f t="shared" si="74"/>
        <v>426.99142857142857</v>
      </c>
      <c r="G295" s="463">
        <f t="shared" si="69"/>
        <v>412.99142857142857</v>
      </c>
      <c r="H295" s="464">
        <f t="shared" si="69"/>
        <v>61.95</v>
      </c>
      <c r="I295" s="465">
        <f t="shared" si="75"/>
        <v>75</v>
      </c>
      <c r="J295" s="463">
        <f t="shared" si="70"/>
        <v>14</v>
      </c>
      <c r="K295" s="886">
        <f t="shared" si="76"/>
        <v>0.15000311317426165</v>
      </c>
      <c r="L295" s="586">
        <f t="shared" si="71"/>
        <v>0.42846955203078307</v>
      </c>
      <c r="M295" s="586">
        <f t="shared" si="72"/>
        <v>0.35896772326856607</v>
      </c>
      <c r="N295" s="586">
        <f t="shared" si="73"/>
        <v>5.3846276019361761E-2</v>
      </c>
      <c r="O295" s="1"/>
      <c r="P295" s="470">
        <f t="shared" si="77"/>
        <v>0.42846955203078307</v>
      </c>
      <c r="R295" s="491" t="s">
        <v>531</v>
      </c>
    </row>
    <row r="296" spans="1:22" ht="15" customHeight="1" x14ac:dyDescent="0.2">
      <c r="A296" s="35"/>
      <c r="B296" s="449">
        <v>40</v>
      </c>
      <c r="C296" s="463">
        <f t="shared" si="68"/>
        <v>603.90571428571423</v>
      </c>
      <c r="D296" s="463">
        <f t="shared" si="68"/>
        <v>674.90571428571423</v>
      </c>
      <c r="E296" s="463">
        <f t="shared" si="68"/>
        <v>584.90571428571423</v>
      </c>
      <c r="F296" s="463">
        <f t="shared" si="74"/>
        <v>522.60571428571427</v>
      </c>
      <c r="G296" s="463">
        <f t="shared" si="69"/>
        <v>508.60571428571427</v>
      </c>
      <c r="H296" s="464">
        <f t="shared" si="69"/>
        <v>76.3</v>
      </c>
      <c r="I296" s="465">
        <f t="shared" si="75"/>
        <v>76</v>
      </c>
      <c r="J296" s="463">
        <f t="shared" si="70"/>
        <v>14</v>
      </c>
      <c r="K296" s="886">
        <f t="shared" si="76"/>
        <v>0.15001797631620339</v>
      </c>
      <c r="L296" s="586">
        <f t="shared" si="71"/>
        <v>0.39369060278426526</v>
      </c>
      <c r="M296" s="586">
        <f t="shared" si="72"/>
        <v>0.33155597671250864</v>
      </c>
      <c r="N296" s="586">
        <f t="shared" si="73"/>
        <v>4.973935666195281E-2</v>
      </c>
      <c r="O296" s="1"/>
      <c r="P296" s="470">
        <f t="shared" si="77"/>
        <v>0.39369060278426526</v>
      </c>
      <c r="R296" s="491" t="s">
        <v>532</v>
      </c>
    </row>
    <row r="297" spans="1:22" ht="15" customHeight="1" x14ac:dyDescent="0.2">
      <c r="A297" s="35"/>
      <c r="B297" s="449">
        <v>50</v>
      </c>
      <c r="C297" s="127">
        <f t="shared" si="68"/>
        <v>710.79857142857145</v>
      </c>
      <c r="D297" s="127">
        <f t="shared" si="68"/>
        <v>781.79857142857145</v>
      </c>
      <c r="E297" s="127">
        <f t="shared" si="68"/>
        <v>690.79857142857145</v>
      </c>
      <c r="F297" s="127">
        <f t="shared" si="74"/>
        <v>614.69857142857143</v>
      </c>
      <c r="G297" s="127">
        <f t="shared" si="69"/>
        <v>600.69857142857143</v>
      </c>
      <c r="H297" s="460">
        <f t="shared" si="69"/>
        <v>90.1</v>
      </c>
      <c r="I297" s="461">
        <f t="shared" si="75"/>
        <v>77</v>
      </c>
      <c r="J297" s="127">
        <f t="shared" si="70"/>
        <v>14</v>
      </c>
      <c r="K297" s="885">
        <f t="shared" si="76"/>
        <v>0.14999203308528877</v>
      </c>
      <c r="L297" s="585">
        <f t="shared" si="71"/>
        <v>0.37069987771172658</v>
      </c>
      <c r="M297" s="585">
        <f t="shared" si="72"/>
        <v>0.31327245599592402</v>
      </c>
      <c r="N297" s="585">
        <f t="shared" si="73"/>
        <v>4.6988372584450308E-2</v>
      </c>
      <c r="O297" s="1"/>
      <c r="P297" s="469">
        <f t="shared" si="77"/>
        <v>0.37069987771172658</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633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V306" s="1"/>
    </row>
    <row r="307" spans="1:22" ht="15" customHeight="1" x14ac:dyDescent="0.2">
      <c r="A307" s="35"/>
      <c r="B307" s="1"/>
      <c r="C307" s="891"/>
      <c r="D307" s="891"/>
      <c r="E307" s="891"/>
      <c r="F307" s="891"/>
      <c r="G307" s="900" t="s">
        <v>637</v>
      </c>
      <c r="H307" s="901"/>
      <c r="I307" s="901"/>
      <c r="J307" s="901"/>
      <c r="P307" s="892"/>
      <c r="T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V308" s="1"/>
    </row>
    <row r="309" spans="1:22" ht="15" customHeight="1" x14ac:dyDescent="0.2">
      <c r="A309" s="35"/>
      <c r="B309" s="1"/>
      <c r="C309" s="891"/>
      <c r="D309" s="891"/>
      <c r="E309" s="891"/>
      <c r="F309" s="891"/>
      <c r="G309" s="898"/>
      <c r="H309" s="899"/>
      <c r="I309" s="898"/>
      <c r="J309" s="898"/>
      <c r="K309" s="898" t="s">
        <v>358</v>
      </c>
      <c r="L309" s="898" t="s">
        <v>651</v>
      </c>
      <c r="M309" t="s">
        <v>650</v>
      </c>
      <c r="P309" s="892"/>
      <c r="R309" s="491"/>
      <c r="T309" s="1"/>
      <c r="V309" s="1"/>
    </row>
    <row r="310" spans="1:22" ht="15" customHeight="1" x14ac:dyDescent="0.2">
      <c r="A310" s="35"/>
      <c r="B310" s="1"/>
      <c r="C310" s="891"/>
      <c r="D310" s="891"/>
      <c r="E310" s="56" t="s">
        <v>638</v>
      </c>
      <c r="G310" s="898" t="s">
        <v>645</v>
      </c>
      <c r="H310" s="899"/>
      <c r="I310" s="898" t="s">
        <v>640</v>
      </c>
      <c r="J310" s="898" t="s">
        <v>334</v>
      </c>
      <c r="K310" s="898" t="s">
        <v>266</v>
      </c>
      <c r="L310" s="903" t="s">
        <v>647</v>
      </c>
      <c r="M310" s="903" t="s">
        <v>649</v>
      </c>
      <c r="P310" s="892"/>
      <c r="R310" s="28" t="s">
        <v>633</v>
      </c>
      <c r="S310" s="491" t="s">
        <v>635</v>
      </c>
      <c r="T310" s="1"/>
      <c r="V310" s="1"/>
    </row>
    <row r="311" spans="1:22" ht="15" customHeight="1" x14ac:dyDescent="0.2">
      <c r="A311" s="35"/>
      <c r="B311" s="1"/>
      <c r="C311" s="891"/>
      <c r="D311" s="891"/>
      <c r="E311" s="56"/>
      <c r="G311" s="898"/>
      <c r="H311" s="899"/>
      <c r="I311" s="898"/>
      <c r="J311" s="898"/>
      <c r="K311" s="898" t="s">
        <v>358</v>
      </c>
      <c r="L311" s="898" t="s">
        <v>651</v>
      </c>
      <c r="M311" t="s">
        <v>650</v>
      </c>
      <c r="P311" s="892"/>
      <c r="R311" s="28"/>
      <c r="S311" s="491"/>
      <c r="T311" s="1"/>
      <c r="V311" s="1"/>
    </row>
    <row r="312" spans="1:22" ht="15" customHeight="1" x14ac:dyDescent="0.2">
      <c r="A312" s="35"/>
      <c r="B312" s="1"/>
      <c r="C312" s="891"/>
      <c r="D312" s="891"/>
      <c r="E312" s="56" t="s">
        <v>638</v>
      </c>
      <c r="G312" s="898" t="s">
        <v>652</v>
      </c>
      <c r="H312" s="899"/>
      <c r="I312" s="898" t="s">
        <v>640</v>
      </c>
      <c r="J312" s="898" t="s">
        <v>334</v>
      </c>
      <c r="K312" s="898" t="s">
        <v>146</v>
      </c>
      <c r="L312" s="898" t="s">
        <v>646</v>
      </c>
      <c r="M312" s="898" t="s">
        <v>653</v>
      </c>
      <c r="P312" s="892"/>
      <c r="R312" s="28" t="s">
        <v>633</v>
      </c>
      <c r="S312" s="491" t="s">
        <v>634</v>
      </c>
      <c r="T312" s="1"/>
      <c r="V312" s="1"/>
    </row>
    <row r="313" spans="1:22" ht="15" customHeight="1" x14ac:dyDescent="0.2">
      <c r="A313" s="35"/>
      <c r="B313" s="1"/>
      <c r="C313" s="1"/>
      <c r="D313" s="891"/>
      <c r="E313" s="891"/>
      <c r="F313" s="891"/>
      <c r="G313" s="891"/>
      <c r="H313" s="891"/>
      <c r="I313" s="893"/>
      <c r="J313" s="891"/>
      <c r="K313" s="891"/>
      <c r="L313" s="891"/>
      <c r="P313" s="892"/>
      <c r="R313" s="1"/>
      <c r="S313" s="491"/>
      <c r="T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honeticPr fontId="38" type="noConversion"/>
  <pageMargins left="0.45" right="0.45" top="0.5" bottom="0.5" header="0.3" footer="0.3"/>
  <pageSetup scale="7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25066-C2E7-49BD-A5CD-97BDA12DEA81}">
  <sheetPr transitionEvaluation="1" transitionEntry="1">
    <tabColor theme="6" tint="0.39997558519241921"/>
  </sheetPr>
  <dimension ref="A1:AD404"/>
  <sheetViews>
    <sheetView showGridLines="0" zoomScale="90" zoomScaleNormal="9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5">
      <c r="B1" s="914" t="s">
        <v>695</v>
      </c>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c r="R7" s="211" t="s">
        <v>680</v>
      </c>
    </row>
    <row r="8" spans="1:30" ht="15" customHeight="1" thickBot="1" x14ac:dyDescent="0.25">
      <c r="B8" s="471" t="s">
        <v>4</v>
      </c>
      <c r="C8" s="472"/>
      <c r="D8" s="472"/>
      <c r="E8" s="7"/>
      <c r="F8" s="7"/>
      <c r="G8" s="7"/>
      <c r="H8" s="7"/>
      <c r="I8" s="7"/>
      <c r="J8" s="7"/>
      <c r="K8" s="7"/>
      <c r="L8" s="8"/>
      <c r="O8" s="212" t="s">
        <v>108</v>
      </c>
      <c r="P8">
        <v>77</v>
      </c>
      <c r="Q8">
        <v>73</v>
      </c>
      <c r="R8">
        <v>75</v>
      </c>
      <c r="Y8" s="349"/>
      <c r="Z8" s="349"/>
      <c r="AA8" s="349"/>
      <c r="AB8" s="349"/>
      <c r="AC8" s="349"/>
    </row>
    <row r="9" spans="1:30" ht="15" customHeight="1" x14ac:dyDescent="0.2">
      <c r="A9" t="s">
        <v>182</v>
      </c>
      <c r="B9" s="473" t="s">
        <v>601</v>
      </c>
      <c r="C9" s="474"/>
      <c r="D9" s="475"/>
      <c r="E9" s="158"/>
      <c r="F9" s="158"/>
      <c r="G9" s="158"/>
      <c r="H9" s="158"/>
      <c r="I9" s="158"/>
      <c r="J9" s="158"/>
      <c r="K9" s="158"/>
      <c r="L9" s="158"/>
      <c r="O9" s="212" t="s">
        <v>110</v>
      </c>
      <c r="P9" s="213">
        <v>73</v>
      </c>
      <c r="Q9" s="213">
        <v>69</v>
      </c>
      <c r="R9" s="213">
        <v>71</v>
      </c>
      <c r="Y9" s="349"/>
      <c r="Z9" s="349"/>
      <c r="AA9" s="349"/>
      <c r="AB9" s="349"/>
      <c r="AC9" s="349"/>
    </row>
    <row r="10" spans="1:30" ht="15" customHeight="1" x14ac:dyDescent="0.2">
      <c r="A10" t="s">
        <v>182</v>
      </c>
      <c r="B10" s="476" t="s">
        <v>602</v>
      </c>
      <c r="C10" s="440"/>
      <c r="D10" s="477"/>
      <c r="E10" s="158" t="s">
        <v>305</v>
      </c>
      <c r="F10" s="158"/>
      <c r="G10" s="158"/>
      <c r="H10" s="158"/>
      <c r="I10" s="158"/>
      <c r="J10" s="158"/>
      <c r="K10" s="158"/>
      <c r="L10" s="158"/>
      <c r="O10" s="211" t="s">
        <v>109</v>
      </c>
      <c r="P10">
        <f>P8-P9</f>
        <v>4</v>
      </c>
      <c r="Q10">
        <f>Q8-Q9</f>
        <v>4</v>
      </c>
      <c r="R10">
        <f>R8-R9</f>
        <v>4</v>
      </c>
      <c r="Y10" s="349"/>
      <c r="Z10" s="349"/>
      <c r="AA10" s="349"/>
      <c r="AB10" s="349"/>
      <c r="AC10" s="349"/>
    </row>
    <row r="11" spans="1:30" ht="15" customHeight="1" x14ac:dyDescent="0.2">
      <c r="A11" t="s">
        <v>182</v>
      </c>
      <c r="B11" s="476" t="s">
        <v>631</v>
      </c>
      <c r="C11" s="440"/>
      <c r="D11" s="477"/>
      <c r="E11" s="158"/>
      <c r="F11" s="158"/>
      <c r="G11" s="158"/>
      <c r="H11" s="158"/>
      <c r="I11" s="158"/>
      <c r="J11" s="158"/>
      <c r="K11" s="158"/>
      <c r="L11" s="158"/>
      <c r="Y11" s="349"/>
      <c r="Z11" s="349"/>
      <c r="AA11" s="349"/>
      <c r="AB11" s="349"/>
      <c r="AC11" s="349"/>
    </row>
    <row r="12" spans="1:30" ht="15" customHeight="1" x14ac:dyDescent="0.2">
      <c r="A12" t="s">
        <v>182</v>
      </c>
      <c r="B12" s="476" t="s">
        <v>678</v>
      </c>
      <c r="C12" s="440"/>
      <c r="D12" s="477"/>
      <c r="E12" s="478" t="s">
        <v>334</v>
      </c>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586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329" t="s">
        <v>657</v>
      </c>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904" t="s">
        <v>658</v>
      </c>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17</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141_77_37_g</v>
      </c>
      <c r="E20" s="40"/>
      <c r="F20" s="339"/>
      <c r="G20" s="905" t="s">
        <v>659</v>
      </c>
      <c r="H20" s="40"/>
      <c r="I20" s="905" t="s">
        <v>659</v>
      </c>
      <c r="J20" s="40"/>
      <c r="K20" s="905" t="s">
        <v>659</v>
      </c>
      <c r="L20" s="40"/>
      <c r="M20" s="905" t="s">
        <v>659</v>
      </c>
      <c r="O20" s="905" t="s">
        <v>659</v>
      </c>
      <c r="Q20" s="905" t="s">
        <v>659</v>
      </c>
      <c r="U20" s="852" t="s">
        <v>80</v>
      </c>
      <c r="V20" s="853" t="s">
        <v>293</v>
      </c>
      <c r="W20" s="851"/>
      <c r="X20" s="849"/>
      <c r="Y20" s="849"/>
      <c r="Z20" s="849"/>
      <c r="AA20" s="849"/>
      <c r="AB20" s="849"/>
      <c r="AC20" s="849"/>
      <c r="AD20" s="22"/>
    </row>
    <row r="21" spans="1:30" ht="15" customHeight="1" x14ac:dyDescent="0.2">
      <c r="B21" s="340" t="s">
        <v>603</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28.6</v>
      </c>
      <c r="C108" s="106">
        <v>1</v>
      </c>
      <c r="D108" s="175">
        <v>35.299999999999997</v>
      </c>
      <c r="E108" s="38"/>
    </row>
    <row r="109" spans="1:12" ht="15" customHeight="1" x14ac:dyDescent="0.2">
      <c r="B109" s="716">
        <v>66.2</v>
      </c>
      <c r="C109" s="106">
        <v>2</v>
      </c>
      <c r="D109" s="176">
        <v>64.2</v>
      </c>
      <c r="E109" s="605">
        <f>D109/D108</f>
        <v>1.8186968838526913</v>
      </c>
    </row>
    <row r="110" spans="1:12" ht="15" customHeight="1" x14ac:dyDescent="0.2">
      <c r="B110" s="65">
        <v>88.7</v>
      </c>
      <c r="C110" s="106">
        <v>3</v>
      </c>
      <c r="D110" s="717">
        <v>88.1</v>
      </c>
      <c r="E110" s="605">
        <f t="shared" ref="E110:E112" si="9">D110/D109</f>
        <v>1.3722741433021806</v>
      </c>
    </row>
    <row r="111" spans="1:12" ht="15" customHeight="1" x14ac:dyDescent="0.2">
      <c r="B111" s="65">
        <v>105.4</v>
      </c>
      <c r="C111" s="106">
        <v>4</v>
      </c>
      <c r="D111" s="717">
        <v>107.5</v>
      </c>
      <c r="E111" s="605">
        <f t="shared" si="9"/>
        <v>1.2202043132803633</v>
      </c>
    </row>
    <row r="112" spans="1:12" ht="15" customHeight="1" x14ac:dyDescent="0.2">
      <c r="B112" s="716">
        <v>120.5</v>
      </c>
      <c r="C112" s="106">
        <v>5</v>
      </c>
      <c r="D112" s="176">
        <v>123.1</v>
      </c>
      <c r="E112" s="605">
        <f t="shared" si="9"/>
        <v>1.1451162790697673</v>
      </c>
    </row>
    <row r="113" spans="1:8" ht="15" customHeight="1" x14ac:dyDescent="0.2">
      <c r="B113" s="65">
        <v>186.8</v>
      </c>
      <c r="C113" s="106">
        <v>10</v>
      </c>
      <c r="D113" s="177">
        <v>192.2</v>
      </c>
      <c r="E113" s="605">
        <f>(D113/D112)/5</f>
        <v>0.31226645004061737</v>
      </c>
    </row>
    <row r="114" spans="1:8" ht="15" customHeight="1" x14ac:dyDescent="0.2">
      <c r="B114" s="65">
        <v>308.10000000000002</v>
      </c>
      <c r="C114" s="106">
        <v>20</v>
      </c>
      <c r="D114" s="177">
        <v>309.10000000000002</v>
      </c>
      <c r="E114" s="605">
        <f>(D114/D113)/10</f>
        <v>0.16082206035379815</v>
      </c>
    </row>
    <row r="115" spans="1:8" ht="15" customHeight="1" x14ac:dyDescent="0.2">
      <c r="B115" s="65">
        <v>412.2</v>
      </c>
      <c r="C115" s="106">
        <v>30</v>
      </c>
      <c r="D115" s="177">
        <v>413</v>
      </c>
      <c r="E115" s="605">
        <f t="shared" ref="E115:E117" si="10">(D115/D114)/10</f>
        <v>0.13361371724361046</v>
      </c>
    </row>
    <row r="116" spans="1:8" ht="15" customHeight="1" x14ac:dyDescent="0.2">
      <c r="B116" s="65">
        <v>508.1</v>
      </c>
      <c r="C116" s="106">
        <v>40</v>
      </c>
      <c r="D116" s="177">
        <v>508.6</v>
      </c>
      <c r="E116" s="605">
        <f t="shared" si="10"/>
        <v>0.12314769975786925</v>
      </c>
    </row>
    <row r="117" spans="1:8" ht="15" customHeight="1" x14ac:dyDescent="0.2">
      <c r="B117" s="716">
        <v>601.9</v>
      </c>
      <c r="C117" s="106">
        <v>50</v>
      </c>
      <c r="D117" s="176">
        <v>600.70000000000005</v>
      </c>
      <c r="E117" s="605">
        <f t="shared" si="10"/>
        <v>0.11810853322847033</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9.9999999999995079E-2</v>
      </c>
      <c r="F126" s="408">
        <f>INDEX(LINEST(D$139:D$143,($C$139:$C$143)^{1,2,3}),1)</f>
        <v>7.9166666666667413E-4</v>
      </c>
      <c r="H126" t="s">
        <v>300</v>
      </c>
    </row>
    <row r="127" spans="1:8" ht="15" customHeight="1" x14ac:dyDescent="0.2">
      <c r="E127" s="409">
        <f>INDEX(LINEST(D$134:D$138,($C$134:$C$138)^{1,2,3}),2)</f>
        <v>-3.1214285714285221</v>
      </c>
      <c r="F127" s="408">
        <f>INDEX(LINEST(D$139:D$143,($C$139:$C$143)^{1,2,3}),2)</f>
        <v>-0.1126071428571435</v>
      </c>
      <c r="H127" t="s">
        <v>301</v>
      </c>
    </row>
    <row r="128" spans="1:8" ht="15" customHeight="1" x14ac:dyDescent="0.2">
      <c r="E128" s="409">
        <f>INDEX(LINEST(D$134:D$138,($C$134:$C$138)^{1,2,3}),3)</f>
        <v>37.578571428571287</v>
      </c>
      <c r="F128" s="408">
        <f>INDEX(LINEST(D$139:D$143,($C$139:$C$143)^{1,2,3}),3)</f>
        <v>14.514761904761921</v>
      </c>
    </row>
    <row r="129" spans="1:11" ht="15" customHeight="1" x14ac:dyDescent="0.2">
      <c r="E129" s="409">
        <f>INDEX(LINEST(D$134:D$138,($C$134:$C$138)^{1,2,3}),4)</f>
        <v>0.74000000000010946</v>
      </c>
      <c r="F129" s="408">
        <f>INDEX(LINEST(D$139:D$143,($C$139:$C$143)^{1,2,3}),4)</f>
        <v>57.519999999999918</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35.299999999999997</v>
      </c>
      <c r="E134" s="114">
        <f>(E$126*($C134)^3)+(E$127*($C134)^2)+(E$128*($C134)^1)+(E$129)</f>
        <v>35.297142857142866</v>
      </c>
      <c r="F134" s="2"/>
      <c r="H134" s="106">
        <v>1</v>
      </c>
      <c r="I134" s="393">
        <f>E134</f>
        <v>35.297142857142866</v>
      </c>
      <c r="J134" s="109">
        <f>B108</f>
        <v>28.6</v>
      </c>
      <c r="K134" s="410">
        <f>I134-J134</f>
        <v>6.6971428571428646</v>
      </c>
    </row>
    <row r="135" spans="1:11" ht="15" customHeight="1" x14ac:dyDescent="0.2">
      <c r="C135" s="106">
        <v>2</v>
      </c>
      <c r="D135" s="110">
        <f t="shared" ref="D135:D143" si="11">D109</f>
        <v>64.2</v>
      </c>
      <c r="E135" s="114">
        <f>(E$126*($C135)^3)+(E$127*($C135)^2)+(E$128*($C135)^1)+(E$129)</f>
        <v>64.211428571428556</v>
      </c>
      <c r="F135" s="2"/>
      <c r="H135" s="106">
        <v>2</v>
      </c>
      <c r="I135" s="393">
        <f t="shared" ref="I135:I138" si="12">E135</f>
        <v>64.211428571428556</v>
      </c>
      <c r="J135" s="110">
        <f t="shared" ref="J135:J143" si="13">B109</f>
        <v>66.2</v>
      </c>
      <c r="K135" s="411">
        <f t="shared" ref="K135:K143" si="14">I135-J135</f>
        <v>-1.9885714285714471</v>
      </c>
    </row>
    <row r="136" spans="1:11" ht="15" customHeight="1" x14ac:dyDescent="0.2">
      <c r="B136" s="28" t="s">
        <v>308</v>
      </c>
      <c r="C136" s="106">
        <v>3</v>
      </c>
      <c r="D136" s="105">
        <f t="shared" si="11"/>
        <v>88.1</v>
      </c>
      <c r="E136" s="114">
        <f t="shared" ref="E136:E138" si="15">(E$126*($C136)^3)+(E$127*($C136)^2)+(E$128*($C136)^1)+(E$129)</f>
        <v>88.082857142857151</v>
      </c>
      <c r="F136" s="2"/>
      <c r="H136" s="106">
        <v>3</v>
      </c>
      <c r="I136" s="393">
        <f t="shared" si="12"/>
        <v>88.082857142857151</v>
      </c>
      <c r="J136" s="105">
        <f t="shared" si="13"/>
        <v>88.7</v>
      </c>
      <c r="K136" s="412">
        <f t="shared" si="14"/>
        <v>-0.61714285714285211</v>
      </c>
    </row>
    <row r="137" spans="1:11" ht="15" customHeight="1" x14ac:dyDescent="0.2">
      <c r="C137" s="106">
        <v>4</v>
      </c>
      <c r="D137" s="105">
        <f t="shared" si="11"/>
        <v>107.5</v>
      </c>
      <c r="E137" s="114">
        <f t="shared" si="15"/>
        <v>107.5114285714286</v>
      </c>
      <c r="F137" s="2"/>
      <c r="H137" s="106">
        <v>4</v>
      </c>
      <c r="I137" s="393">
        <f t="shared" si="12"/>
        <v>107.5114285714286</v>
      </c>
      <c r="J137" s="105">
        <f t="shared" si="13"/>
        <v>105.4</v>
      </c>
      <c r="K137" s="412">
        <f t="shared" si="14"/>
        <v>2.1114285714285899</v>
      </c>
    </row>
    <row r="138" spans="1:11" ht="15" customHeight="1" x14ac:dyDescent="0.2">
      <c r="C138" s="106">
        <v>5</v>
      </c>
      <c r="D138" s="110">
        <f t="shared" si="11"/>
        <v>123.1</v>
      </c>
      <c r="E138" s="114">
        <f t="shared" si="15"/>
        <v>123.09714285714287</v>
      </c>
      <c r="F138" s="2"/>
      <c r="H138" s="106">
        <v>5</v>
      </c>
      <c r="I138" s="393">
        <f t="shared" si="12"/>
        <v>123.09714285714287</v>
      </c>
      <c r="J138" s="110">
        <f t="shared" si="13"/>
        <v>120.5</v>
      </c>
      <c r="K138" s="411">
        <f t="shared" si="14"/>
        <v>2.5971428571428703</v>
      </c>
    </row>
    <row r="139" spans="1:11" ht="15" customHeight="1" x14ac:dyDescent="0.2">
      <c r="C139" s="106">
        <v>10</v>
      </c>
      <c r="D139" s="105">
        <f t="shared" si="11"/>
        <v>192.2</v>
      </c>
      <c r="E139" s="416"/>
      <c r="F139" s="115">
        <f>(F$126*($C139)^3)+(F$127*($C139)^2)+(F$128*($C139)^1)+(F$129)</f>
        <v>192.19857142857146</v>
      </c>
      <c r="H139" s="106">
        <v>10</v>
      </c>
      <c r="I139" s="393">
        <f>F139</f>
        <v>192.19857142857146</v>
      </c>
      <c r="J139" s="105">
        <f t="shared" si="13"/>
        <v>186.8</v>
      </c>
      <c r="K139" s="412">
        <f t="shared" si="14"/>
        <v>5.3985714285714437</v>
      </c>
    </row>
    <row r="140" spans="1:11" ht="15" customHeight="1" x14ac:dyDescent="0.2">
      <c r="C140" s="106">
        <v>20</v>
      </c>
      <c r="D140" s="105">
        <f t="shared" si="11"/>
        <v>309.10000000000002</v>
      </c>
      <c r="E140" s="2"/>
      <c r="F140" s="115">
        <f t="shared" ref="F140:F143" si="16">(F$126*($C140)^3)+(F$127*($C140)^2)+(F$128*($C140)^1)+(F$129)</f>
        <v>309.10571428571433</v>
      </c>
      <c r="H140" s="106">
        <v>20</v>
      </c>
      <c r="I140" s="393">
        <f t="shared" ref="I140:I143" si="17">F140</f>
        <v>309.10571428571433</v>
      </c>
      <c r="J140" s="105">
        <f t="shared" si="13"/>
        <v>308.10000000000002</v>
      </c>
      <c r="K140" s="412">
        <f t="shared" si="14"/>
        <v>1.0057142857143049</v>
      </c>
    </row>
    <row r="141" spans="1:11" ht="15" customHeight="1" x14ac:dyDescent="0.2">
      <c r="B141" s="28" t="s">
        <v>297</v>
      </c>
      <c r="C141" s="106">
        <v>30</v>
      </c>
      <c r="D141" s="105">
        <f t="shared" si="11"/>
        <v>413</v>
      </c>
      <c r="E141" s="2"/>
      <c r="F141" s="115">
        <f t="shared" si="16"/>
        <v>412.99142857142857</v>
      </c>
      <c r="H141" s="106">
        <v>30</v>
      </c>
      <c r="I141" s="393">
        <f t="shared" si="17"/>
        <v>412.99142857142857</v>
      </c>
      <c r="J141" s="105">
        <f t="shared" si="13"/>
        <v>412.2</v>
      </c>
      <c r="K141" s="412">
        <f t="shared" si="14"/>
        <v>0.79142857142858247</v>
      </c>
    </row>
    <row r="142" spans="1:11" ht="15" customHeight="1" x14ac:dyDescent="0.2">
      <c r="C142" s="106">
        <v>40</v>
      </c>
      <c r="D142" s="105">
        <f t="shared" si="11"/>
        <v>508.6</v>
      </c>
      <c r="E142" s="2"/>
      <c r="F142" s="115">
        <f t="shared" si="16"/>
        <v>508.60571428571427</v>
      </c>
      <c r="H142" s="106">
        <v>40</v>
      </c>
      <c r="I142" s="393">
        <f t="shared" si="17"/>
        <v>508.60571428571427</v>
      </c>
      <c r="J142" s="105">
        <f t="shared" si="13"/>
        <v>508.1</v>
      </c>
      <c r="K142" s="412">
        <f t="shared" si="14"/>
        <v>0.50571428571424804</v>
      </c>
    </row>
    <row r="143" spans="1:11" ht="15" customHeight="1" x14ac:dyDescent="0.2">
      <c r="C143" s="106">
        <v>50</v>
      </c>
      <c r="D143" s="110">
        <f t="shared" si="11"/>
        <v>600.70000000000005</v>
      </c>
      <c r="E143" s="2"/>
      <c r="F143" s="115">
        <f t="shared" si="16"/>
        <v>600.69857142857143</v>
      </c>
      <c r="H143" s="106">
        <v>50</v>
      </c>
      <c r="I143" s="394">
        <f t="shared" si="17"/>
        <v>600.69857142857143</v>
      </c>
      <c r="J143" s="110">
        <f t="shared" si="13"/>
        <v>601.9</v>
      </c>
      <c r="K143" s="411">
        <f t="shared" si="14"/>
        <v>-1.2014285714285506</v>
      </c>
    </row>
    <row r="144" spans="1:11" ht="15" customHeight="1" x14ac:dyDescent="0.2">
      <c r="I144" s="38"/>
    </row>
    <row r="145" spans="1:25" ht="15" customHeight="1" x14ac:dyDescent="0.2">
      <c r="D145" s="602">
        <f>D135/D134</f>
        <v>1.8186968838526913</v>
      </c>
      <c r="E145" s="603">
        <f>D138/D135</f>
        <v>1.9174454828660434</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M150" t="s">
        <v>587</v>
      </c>
      <c r="O150" t="s">
        <v>625</v>
      </c>
      <c r="S150" t="s">
        <v>587</v>
      </c>
      <c r="U150" t="s">
        <v>624</v>
      </c>
    </row>
    <row r="151" spans="1:25" ht="15" customHeight="1" x14ac:dyDescent="0.2">
      <c r="A151" s="64"/>
      <c r="B151" s="56" t="s">
        <v>611</v>
      </c>
      <c r="M151" s="64" t="s">
        <v>580</v>
      </c>
    </row>
    <row r="152" spans="1:25" ht="15" customHeight="1" x14ac:dyDescent="0.2">
      <c r="I152" s="38"/>
      <c r="J152" s="764" t="s">
        <v>490</v>
      </c>
      <c r="K152" s="251"/>
      <c r="L152" s="765" t="s">
        <v>623</v>
      </c>
      <c r="U152" s="844" t="s">
        <v>579</v>
      </c>
    </row>
    <row r="153" spans="1:25" ht="15" customHeight="1" x14ac:dyDescent="0.2">
      <c r="E153" t="s">
        <v>612</v>
      </c>
      <c r="G153" s="368"/>
      <c r="H153" s="369" t="s">
        <v>35</v>
      </c>
      <c r="I153" s="38"/>
      <c r="J153" s="727"/>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36.037142857142868</v>
      </c>
      <c r="D157" s="119">
        <f t="shared" ref="D157:D166" si="18">I134</f>
        <v>35.297142857142866</v>
      </c>
      <c r="E157" s="118">
        <v>0.74</v>
      </c>
      <c r="F157" s="152">
        <f>E157/D157</f>
        <v>2.0964869677837131E-2</v>
      </c>
      <c r="G157" s="374">
        <f t="shared" ref="G157:G166" si="19">G30</f>
        <v>0.9</v>
      </c>
      <c r="H157" s="375">
        <f>E157-G157</f>
        <v>-0.16000000000000003</v>
      </c>
      <c r="J157" s="402">
        <f>C59</f>
        <v>2.1000000000000001E-2</v>
      </c>
      <c r="K157" s="150">
        <f>J157-F157</f>
        <v>3.513032216287057E-5</v>
      </c>
      <c r="M157" s="402">
        <f>C157/D157</f>
        <v>1.0209648696778373</v>
      </c>
      <c r="N157" s="143">
        <f>D157*M157</f>
        <v>36.037142857142868</v>
      </c>
      <c r="O157" s="287">
        <f t="shared" ref="O157:O166" si="20">N157-C157</f>
        <v>0</v>
      </c>
      <c r="P157" s="288">
        <f t="shared" ref="P157:P166" si="21">J157/F157</f>
        <v>1.0016756756756762</v>
      </c>
      <c r="Q157" s="289">
        <f t="shared" ref="Q157:Q166" si="22">P157*E157</f>
        <v>0.74124000000000034</v>
      </c>
      <c r="R157" s="267" t="s">
        <v>200</v>
      </c>
      <c r="U157" s="152">
        <f>E157/D157</f>
        <v>2.0964869677837131E-2</v>
      </c>
      <c r="Y157">
        <f>1.6/1.99</f>
        <v>0.8040201005025126</v>
      </c>
    </row>
    <row r="158" spans="1:25" ht="15" customHeight="1" x14ac:dyDescent="0.2">
      <c r="A158" s="118">
        <v>1.6</v>
      </c>
      <c r="B158" s="106">
        <v>2</v>
      </c>
      <c r="C158" s="120">
        <f t="shared" ref="C158:C166" si="23">D158+E158</f>
        <v>66.136428571428553</v>
      </c>
      <c r="D158" s="120">
        <f t="shared" si="18"/>
        <v>64.211428571428556</v>
      </c>
      <c r="E158" s="118">
        <v>1.925</v>
      </c>
      <c r="F158" s="153">
        <f t="shared" ref="F158:F166" si="24">E158/D158</f>
        <v>2.9979086944914132E-2</v>
      </c>
      <c r="G158" s="376">
        <f t="shared" si="19"/>
        <v>1.6</v>
      </c>
      <c r="H158" s="377">
        <f t="shared" ref="H158:H166" si="25">E158-G158</f>
        <v>0.32499999999999996</v>
      </c>
      <c r="J158" s="402">
        <f t="shared" ref="J158:J166" si="26">C60</f>
        <v>0.03</v>
      </c>
      <c r="K158" s="150">
        <f t="shared" ref="K158:K165" si="27">J158-F158</f>
        <v>2.0913055085867299E-5</v>
      </c>
      <c r="M158" s="402">
        <f t="shared" ref="M158:M166" si="28">C158/D158</f>
        <v>1.0299790869449141</v>
      </c>
      <c r="N158" s="144">
        <f t="shared" ref="N158:N166" si="29">D158*M158</f>
        <v>66.136428571428553</v>
      </c>
      <c r="O158" s="287">
        <f t="shared" si="20"/>
        <v>0</v>
      </c>
      <c r="P158" s="288">
        <f t="shared" si="21"/>
        <v>1.0006975881261593</v>
      </c>
      <c r="Q158" s="290">
        <f t="shared" si="22"/>
        <v>1.9263428571428567</v>
      </c>
      <c r="R158" s="267" t="s">
        <v>312</v>
      </c>
      <c r="U158" s="152">
        <f t="shared" ref="U158:U166" si="30">E158/D158</f>
        <v>2.9979086944914132E-2</v>
      </c>
    </row>
    <row r="159" spans="1:25" ht="15" customHeight="1" x14ac:dyDescent="0.2">
      <c r="A159" s="118">
        <v>2.6</v>
      </c>
      <c r="B159" s="106">
        <v>3</v>
      </c>
      <c r="C159" s="121">
        <f t="shared" si="23"/>
        <v>91.517857142857153</v>
      </c>
      <c r="D159" s="121">
        <f t="shared" si="18"/>
        <v>88.082857142857151</v>
      </c>
      <c r="E159" s="118">
        <v>3.4350000000000001</v>
      </c>
      <c r="F159" s="154">
        <f t="shared" si="24"/>
        <v>3.8997372603717273E-2</v>
      </c>
      <c r="G159" s="378">
        <f t="shared" si="19"/>
        <v>2.6</v>
      </c>
      <c r="H159" s="379">
        <f t="shared" si="25"/>
        <v>0.83499999999999996</v>
      </c>
      <c r="J159" s="402">
        <f t="shared" si="26"/>
        <v>3.9E-2</v>
      </c>
      <c r="K159" s="150">
        <f t="shared" si="27"/>
        <v>2.627396282726957E-6</v>
      </c>
      <c r="M159" s="402">
        <f t="shared" si="28"/>
        <v>1.0389973726037174</v>
      </c>
      <c r="N159" s="145">
        <f t="shared" si="29"/>
        <v>91.517857142857167</v>
      </c>
      <c r="O159" s="287">
        <f t="shared" si="20"/>
        <v>0</v>
      </c>
      <c r="P159" s="288">
        <f t="shared" si="21"/>
        <v>1.0000673736743608</v>
      </c>
      <c r="Q159" s="288">
        <f t="shared" si="22"/>
        <v>3.4352314285714294</v>
      </c>
      <c r="R159" s="267" t="s">
        <v>143</v>
      </c>
      <c r="U159" s="152">
        <f t="shared" si="30"/>
        <v>3.8997372603717273E-2</v>
      </c>
    </row>
    <row r="160" spans="1:25" ht="15" customHeight="1" x14ac:dyDescent="0.2">
      <c r="A160" s="118">
        <v>3.8</v>
      </c>
      <c r="B160" s="106">
        <v>4</v>
      </c>
      <c r="C160" s="121">
        <f t="shared" si="23"/>
        <v>112.72142857142859</v>
      </c>
      <c r="D160" s="121">
        <f t="shared" si="18"/>
        <v>107.5114285714286</v>
      </c>
      <c r="E160" s="118">
        <v>5.21</v>
      </c>
      <c r="F160" s="154">
        <f t="shared" si="24"/>
        <v>4.8459964389167914E-2</v>
      </c>
      <c r="G160" s="378">
        <f t="shared" si="19"/>
        <v>3.8</v>
      </c>
      <c r="H160" s="379">
        <f t="shared" si="25"/>
        <v>1.4100000000000001</v>
      </c>
      <c r="J160" s="402">
        <f t="shared" si="26"/>
        <v>4.8499999999999995E-2</v>
      </c>
      <c r="K160" s="150">
        <f t="shared" si="27"/>
        <v>4.0035610832080126E-5</v>
      </c>
      <c r="M160" s="402">
        <f t="shared" si="28"/>
        <v>1.0484599643891679</v>
      </c>
      <c r="N160" s="145">
        <f t="shared" si="29"/>
        <v>112.72142857142859</v>
      </c>
      <c r="O160" s="287">
        <f t="shared" si="20"/>
        <v>0</v>
      </c>
      <c r="P160" s="288">
        <f t="shared" si="21"/>
        <v>1.0008261584864273</v>
      </c>
      <c r="Q160" s="288">
        <f t="shared" si="22"/>
        <v>5.2143042857142863</v>
      </c>
      <c r="R160" s="88" t="s">
        <v>142</v>
      </c>
      <c r="U160" s="152">
        <f t="shared" si="30"/>
        <v>4.8459964389167914E-2</v>
      </c>
    </row>
    <row r="161" spans="1:25" ht="15" customHeight="1" x14ac:dyDescent="0.2">
      <c r="A161" s="118">
        <v>5.0999999999999996</v>
      </c>
      <c r="B161" s="106">
        <v>5</v>
      </c>
      <c r="C161" s="120">
        <f t="shared" si="23"/>
        <v>130.23714285714286</v>
      </c>
      <c r="D161" s="120">
        <f t="shared" si="18"/>
        <v>123.09714285714287</v>
      </c>
      <c r="E161" s="118">
        <v>7.14</v>
      </c>
      <c r="F161" s="153">
        <f t="shared" si="24"/>
        <v>5.8002970940488341E-2</v>
      </c>
      <c r="G161" s="376">
        <f t="shared" si="19"/>
        <v>5.0999999999999996</v>
      </c>
      <c r="H161" s="377">
        <f t="shared" si="25"/>
        <v>2.04</v>
      </c>
      <c r="J161" s="402">
        <f t="shared" si="26"/>
        <v>5.7999999999999996E-2</v>
      </c>
      <c r="K161" s="150">
        <f t="shared" si="27"/>
        <v>-2.9709404883448975E-6</v>
      </c>
      <c r="M161" s="402">
        <f t="shared" si="28"/>
        <v>1.0580029709404883</v>
      </c>
      <c r="N161" s="144">
        <f t="shared" si="29"/>
        <v>130.23714285714286</v>
      </c>
      <c r="O161" s="287">
        <f t="shared" si="20"/>
        <v>0</v>
      </c>
      <c r="P161" s="288">
        <f t="shared" si="21"/>
        <v>0.99994877951180483</v>
      </c>
      <c r="Q161" s="290">
        <f t="shared" si="22"/>
        <v>7.139634285714286</v>
      </c>
      <c r="U161" s="152">
        <f t="shared" si="30"/>
        <v>5.8002970940488341E-2</v>
      </c>
      <c r="Y161">
        <f>0.9/0.75</f>
        <v>1.2</v>
      </c>
    </row>
    <row r="162" spans="1:25" ht="15" customHeight="1" x14ac:dyDescent="0.2">
      <c r="A162" s="118">
        <v>15.1</v>
      </c>
      <c r="B162" s="106">
        <v>10</v>
      </c>
      <c r="C162" s="121">
        <f t="shared" si="23"/>
        <v>212.18857142857146</v>
      </c>
      <c r="D162" s="121">
        <f t="shared" si="18"/>
        <v>192.19857142857146</v>
      </c>
      <c r="E162" s="118">
        <v>19.989999999999998</v>
      </c>
      <c r="F162" s="154">
        <f t="shared" si="24"/>
        <v>0.10400701655282109</v>
      </c>
      <c r="G162" s="378">
        <f t="shared" si="19"/>
        <v>15.1</v>
      </c>
      <c r="H162" s="379">
        <f t="shared" si="25"/>
        <v>4.8899999999999988</v>
      </c>
      <c r="J162" s="402">
        <f t="shared" si="26"/>
        <v>0.10400000000000001</v>
      </c>
      <c r="K162" s="150">
        <f t="shared" si="27"/>
        <v>-7.0165528210791583E-6</v>
      </c>
      <c r="M162" s="402">
        <f t="shared" si="28"/>
        <v>1.1040070165528211</v>
      </c>
      <c r="N162" s="145">
        <f t="shared" si="29"/>
        <v>212.18857142857146</v>
      </c>
      <c r="O162" s="287">
        <f t="shared" si="20"/>
        <v>0</v>
      </c>
      <c r="P162" s="288">
        <f t="shared" si="21"/>
        <v>0.99993253769742052</v>
      </c>
      <c r="Q162" s="288">
        <f t="shared" si="22"/>
        <v>19.988651428571433</v>
      </c>
      <c r="U162" s="152">
        <f t="shared" si="30"/>
        <v>0.10400701655282109</v>
      </c>
    </row>
    <row r="163" spans="1:25" ht="15" customHeight="1" x14ac:dyDescent="0.2">
      <c r="A163" s="118">
        <v>44</v>
      </c>
      <c r="B163" s="106">
        <v>20</v>
      </c>
      <c r="C163" s="121">
        <f t="shared" si="23"/>
        <v>355.48571428571432</v>
      </c>
      <c r="D163" s="121">
        <f t="shared" si="18"/>
        <v>309.10571428571433</v>
      </c>
      <c r="E163" s="118">
        <v>46.38</v>
      </c>
      <c r="F163" s="154">
        <f t="shared" si="24"/>
        <v>0.15004575411093754</v>
      </c>
      <c r="G163" s="378">
        <f t="shared" si="19"/>
        <v>44</v>
      </c>
      <c r="H163" s="379">
        <f t="shared" si="25"/>
        <v>2.3800000000000026</v>
      </c>
      <c r="J163" s="402">
        <f t="shared" si="26"/>
        <v>0.15</v>
      </c>
      <c r="K163" s="150">
        <f t="shared" si="27"/>
        <v>-4.5754110937545889E-5</v>
      </c>
      <c r="M163" s="402">
        <f t="shared" si="28"/>
        <v>1.1500457541109375</v>
      </c>
      <c r="N163" s="145">
        <f t="shared" si="29"/>
        <v>355.48571428571432</v>
      </c>
      <c r="O163" s="287">
        <f t="shared" si="20"/>
        <v>0</v>
      </c>
      <c r="P163" s="288">
        <f t="shared" si="21"/>
        <v>0.99969506560709664</v>
      </c>
      <c r="Q163" s="288">
        <f t="shared" si="22"/>
        <v>46.365857142857145</v>
      </c>
      <c r="U163" s="152">
        <f t="shared" si="30"/>
        <v>0.15004575411093754</v>
      </c>
    </row>
    <row r="164" spans="1:25" ht="15" customHeight="1" x14ac:dyDescent="0.2">
      <c r="A164" s="118">
        <v>63.1</v>
      </c>
      <c r="B164" s="106">
        <v>30</v>
      </c>
      <c r="C164" s="121">
        <f>D164+E164</f>
        <v>474.94142857142856</v>
      </c>
      <c r="D164" s="121">
        <f t="shared" si="18"/>
        <v>412.99142857142857</v>
      </c>
      <c r="E164" s="118">
        <v>61.95</v>
      </c>
      <c r="F164" s="154">
        <f t="shared" si="24"/>
        <v>0.15000311317426165</v>
      </c>
      <c r="G164" s="378">
        <f t="shared" si="19"/>
        <v>63.1</v>
      </c>
      <c r="H164" s="379">
        <f t="shared" si="25"/>
        <v>-1.1499999999999986</v>
      </c>
      <c r="J164" s="402">
        <f t="shared" si="26"/>
        <v>0.15</v>
      </c>
      <c r="K164" s="150">
        <f t="shared" si="27"/>
        <v>-3.1131742616596902E-6</v>
      </c>
      <c r="M164" s="402">
        <f t="shared" si="28"/>
        <v>1.1500031131742616</v>
      </c>
      <c r="N164" s="145">
        <f t="shared" si="29"/>
        <v>474.94142857142856</v>
      </c>
      <c r="O164" s="287">
        <f t="shared" si="20"/>
        <v>0</v>
      </c>
      <c r="P164" s="288">
        <f t="shared" si="21"/>
        <v>0.99997924593566234</v>
      </c>
      <c r="Q164" s="288">
        <f t="shared" si="22"/>
        <v>61.948714285714281</v>
      </c>
      <c r="U164" s="152">
        <f t="shared" si="30"/>
        <v>0.15000311317426165</v>
      </c>
    </row>
    <row r="165" spans="1:25" ht="15" customHeight="1" x14ac:dyDescent="0.2">
      <c r="A165" s="118">
        <v>78.8</v>
      </c>
      <c r="B165" s="106">
        <v>40</v>
      </c>
      <c r="C165" s="121">
        <f t="shared" si="23"/>
        <v>584.90571428571423</v>
      </c>
      <c r="D165" s="121">
        <f t="shared" si="18"/>
        <v>508.60571428571427</v>
      </c>
      <c r="E165" s="118">
        <v>76.3</v>
      </c>
      <c r="F165" s="154">
        <f t="shared" si="24"/>
        <v>0.15001797631620339</v>
      </c>
      <c r="G165" s="378">
        <f t="shared" si="19"/>
        <v>78.8</v>
      </c>
      <c r="H165" s="379">
        <f t="shared" si="25"/>
        <v>-2.5</v>
      </c>
      <c r="J165" s="402">
        <f t="shared" si="26"/>
        <v>0.15</v>
      </c>
      <c r="K165" s="150">
        <f t="shared" si="27"/>
        <v>-1.7976316203399678E-5</v>
      </c>
      <c r="M165" s="402">
        <f t="shared" si="28"/>
        <v>1.1500179763162033</v>
      </c>
      <c r="N165" s="145">
        <f t="shared" si="29"/>
        <v>584.90571428571423</v>
      </c>
      <c r="O165" s="287">
        <f t="shared" si="20"/>
        <v>0</v>
      </c>
      <c r="P165" s="288">
        <f t="shared" si="21"/>
        <v>0.99988017225238723</v>
      </c>
      <c r="Q165" s="288">
        <f t="shared" si="22"/>
        <v>76.290857142857149</v>
      </c>
      <c r="U165" s="152">
        <f t="shared" si="30"/>
        <v>0.15001797631620339</v>
      </c>
    </row>
    <row r="166" spans="1:25" ht="15" customHeight="1" x14ac:dyDescent="0.2">
      <c r="A166" s="118">
        <v>93.8</v>
      </c>
      <c r="B166" s="106">
        <v>50</v>
      </c>
      <c r="C166" s="120">
        <f t="shared" si="23"/>
        <v>690.79857142857145</v>
      </c>
      <c r="D166" s="120">
        <f t="shared" si="18"/>
        <v>600.69857142857143</v>
      </c>
      <c r="E166" s="118">
        <v>90.1</v>
      </c>
      <c r="F166" s="153">
        <f t="shared" si="24"/>
        <v>0.14999203308528877</v>
      </c>
      <c r="G166" s="380">
        <f t="shared" si="19"/>
        <v>93.8</v>
      </c>
      <c r="H166" s="381">
        <f t="shared" si="25"/>
        <v>-3.7000000000000028</v>
      </c>
      <c r="J166" s="403">
        <f t="shared" si="26"/>
        <v>0.15</v>
      </c>
      <c r="K166" s="151">
        <f>J166-F166</f>
        <v>7.9669147112215732E-6</v>
      </c>
      <c r="M166" s="403">
        <f t="shared" si="28"/>
        <v>1.1499920330852889</v>
      </c>
      <c r="N166" s="146">
        <f t="shared" si="29"/>
        <v>690.79857142857145</v>
      </c>
      <c r="O166" s="287">
        <f t="shared" si="20"/>
        <v>0</v>
      </c>
      <c r="P166" s="288">
        <f t="shared" si="21"/>
        <v>1.0000531155858572</v>
      </c>
      <c r="Q166" s="290">
        <f t="shared" si="22"/>
        <v>90.104785714285725</v>
      </c>
      <c r="U166" s="152">
        <f t="shared" si="30"/>
        <v>0.14999203308528877</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5" customHeight="1" x14ac:dyDescent="0.2">
      <c r="A174" s="90"/>
      <c r="B174" s="28" t="s">
        <v>191</v>
      </c>
      <c r="I174" s="38"/>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
      <c r="D180" s="214" t="s">
        <v>163</v>
      </c>
      <c r="I180" s="38"/>
      <c r="P180" s="804" t="s">
        <v>540</v>
      </c>
    </row>
    <row r="181" spans="2:26" ht="15" customHeight="1" x14ac:dyDescent="0.2">
      <c r="C181" s="27" t="s">
        <v>457</v>
      </c>
      <c r="F181" s="38"/>
      <c r="G181" s="38"/>
      <c r="H181" s="38"/>
      <c r="I181" s="38"/>
      <c r="J181" s="359" t="s">
        <v>269</v>
      </c>
      <c r="K181" s="214"/>
      <c r="L181" s="214"/>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6" ht="15" customHeight="1" x14ac:dyDescent="0.2">
      <c r="B185" s="106">
        <v>1</v>
      </c>
      <c r="C185" s="119">
        <f>(D185-J185)</f>
        <v>54.037142857142868</v>
      </c>
      <c r="D185" s="698">
        <f>(F185+G185+M185+L185)+$E$179</f>
        <v>125.03714285714287</v>
      </c>
      <c r="E185" s="119">
        <f>F185+G185</f>
        <v>36.037142857142868</v>
      </c>
      <c r="F185" s="119">
        <f t="shared" ref="F185:G194" si="31">D157</f>
        <v>35.297142857142866</v>
      </c>
      <c r="G185" s="175">
        <f t="shared" si="31"/>
        <v>0.74</v>
      </c>
      <c r="H185" s="155">
        <f>G185/F185</f>
        <v>2.0964869677837131E-2</v>
      </c>
      <c r="I185" s="119">
        <f>O185</f>
        <v>75.7</v>
      </c>
      <c r="J185" s="694">
        <v>71</v>
      </c>
      <c r="K185" s="690">
        <v>4</v>
      </c>
      <c r="L185" s="507">
        <f>P185</f>
        <v>14</v>
      </c>
      <c r="M185" s="497">
        <v>75</v>
      </c>
      <c r="O185" s="417">
        <v>75.7</v>
      </c>
      <c r="P185" s="766">
        <v>14</v>
      </c>
      <c r="Q185" s="422">
        <v>109</v>
      </c>
      <c r="R185" s="432">
        <f>D185-Q185</f>
        <v>16.037142857142868</v>
      </c>
      <c r="S185" s="433">
        <f t="shared" ref="S185:S194" si="32">G185-G30</f>
        <v>-0.16000000000000003</v>
      </c>
      <c r="T185" s="420">
        <v>13.9</v>
      </c>
      <c r="W185">
        <v>42</v>
      </c>
      <c r="X185">
        <v>37</v>
      </c>
    </row>
    <row r="186" spans="2:26" ht="15" customHeight="1" x14ac:dyDescent="0.2">
      <c r="B186" s="106">
        <v>2</v>
      </c>
      <c r="C186" s="120">
        <f t="shared" ref="C186:C193" si="33">(D186-J186)</f>
        <v>84.136428571428553</v>
      </c>
      <c r="D186" s="699">
        <f t="shared" ref="D186:D193" si="34">(F186+G186+M186+L186)+$E$179</f>
        <v>155.13642857142855</v>
      </c>
      <c r="E186" s="120">
        <f t="shared" ref="E186:E191" si="35">F186+G186</f>
        <v>66.136428571428553</v>
      </c>
      <c r="F186" s="120">
        <f t="shared" si="31"/>
        <v>64.211428571428556</v>
      </c>
      <c r="G186" s="176">
        <f t="shared" si="31"/>
        <v>1.925</v>
      </c>
      <c r="H186" s="156">
        <f t="shared" ref="H186:H194" si="36">G186/F186</f>
        <v>2.9979086944914132E-2</v>
      </c>
      <c r="I186" s="120">
        <f t="shared" ref="I186:I194" si="37">O186</f>
        <v>75.3</v>
      </c>
      <c r="J186" s="695">
        <f>J185</f>
        <v>71</v>
      </c>
      <c r="K186" s="691">
        <v>4</v>
      </c>
      <c r="L186" s="506">
        <f>L185</f>
        <v>14</v>
      </c>
      <c r="M186" s="242">
        <v>75</v>
      </c>
      <c r="O186" s="242">
        <v>75.3</v>
      </c>
      <c r="P186" s="419">
        <v>5.0999999999999996</v>
      </c>
      <c r="Q186" s="423">
        <v>148</v>
      </c>
      <c r="R186" s="434">
        <f t="shared" ref="R186:R194" si="38">D186-Q186</f>
        <v>7.1364285714285529</v>
      </c>
      <c r="S186" s="435">
        <f t="shared" si="32"/>
        <v>0.32499999999999996</v>
      </c>
      <c r="W186">
        <v>57</v>
      </c>
      <c r="X186">
        <v>56</v>
      </c>
    </row>
    <row r="187" spans="2:26" ht="15" customHeight="1" x14ac:dyDescent="0.2">
      <c r="B187" s="106">
        <v>3</v>
      </c>
      <c r="C187" s="121">
        <f t="shared" si="33"/>
        <v>109.51785714285717</v>
      </c>
      <c r="D187" s="700">
        <f>(F187+G187+M187+L187)+$E$179</f>
        <v>180.51785714285717</v>
      </c>
      <c r="E187" s="121">
        <f t="shared" si="35"/>
        <v>91.517857142857153</v>
      </c>
      <c r="F187" s="121">
        <f t="shared" si="31"/>
        <v>88.082857142857151</v>
      </c>
      <c r="G187" s="177">
        <f t="shared" si="31"/>
        <v>3.4350000000000001</v>
      </c>
      <c r="H187" s="157">
        <f t="shared" si="36"/>
        <v>3.8997372603717273E-2</v>
      </c>
      <c r="I187" s="121">
        <f t="shared" si="37"/>
        <v>74.8</v>
      </c>
      <c r="J187" s="696">
        <f t="shared" ref="J187:L194" si="39">J186</f>
        <v>71</v>
      </c>
      <c r="K187" s="692">
        <v>4</v>
      </c>
      <c r="L187" s="318">
        <f t="shared" si="39"/>
        <v>14</v>
      </c>
      <c r="M187" s="243">
        <v>75</v>
      </c>
      <c r="O187" s="243">
        <v>74.8</v>
      </c>
      <c r="P187" s="243">
        <v>6.2</v>
      </c>
      <c r="Q187" s="424">
        <v>172</v>
      </c>
      <c r="R187" s="436">
        <f t="shared" si="38"/>
        <v>8.5178571428571672</v>
      </c>
      <c r="S187" s="437">
        <f t="shared" si="32"/>
        <v>0.83499999999999996</v>
      </c>
      <c r="W187">
        <f>SUM(W183:W186)</f>
        <v>330</v>
      </c>
      <c r="X187">
        <v>43</v>
      </c>
    </row>
    <row r="188" spans="2:26" ht="15" customHeight="1" x14ac:dyDescent="0.2">
      <c r="B188" s="106">
        <v>4</v>
      </c>
      <c r="C188" s="121">
        <f t="shared" si="33"/>
        <v>130.72142857142859</v>
      </c>
      <c r="D188" s="700">
        <f t="shared" si="34"/>
        <v>201.72142857142859</v>
      </c>
      <c r="E188" s="121">
        <f t="shared" si="35"/>
        <v>112.72142857142859</v>
      </c>
      <c r="F188" s="121">
        <f t="shared" si="31"/>
        <v>107.5114285714286</v>
      </c>
      <c r="G188" s="177">
        <f t="shared" si="31"/>
        <v>5.21</v>
      </c>
      <c r="H188" s="157">
        <f t="shared" si="36"/>
        <v>4.8459964389167914E-2</v>
      </c>
      <c r="I188" s="121">
        <f t="shared" si="37"/>
        <v>74.5</v>
      </c>
      <c r="J188" s="696">
        <f t="shared" si="39"/>
        <v>71</v>
      </c>
      <c r="K188" s="692">
        <v>4</v>
      </c>
      <c r="L188" s="318">
        <f t="shared" si="39"/>
        <v>14</v>
      </c>
      <c r="M188" s="243">
        <v>75</v>
      </c>
      <c r="O188" s="243">
        <v>74.5</v>
      </c>
      <c r="P188" s="243">
        <v>7.1</v>
      </c>
      <c r="Q188" s="424">
        <v>191</v>
      </c>
      <c r="R188" s="436">
        <f t="shared" si="38"/>
        <v>10.721428571428589</v>
      </c>
      <c r="S188" s="437">
        <f t="shared" si="32"/>
        <v>1.4100000000000001</v>
      </c>
      <c r="X188">
        <f>SUM(X183:X187)</f>
        <v>367</v>
      </c>
    </row>
    <row r="189" spans="2:26" ht="15" customHeight="1" x14ac:dyDescent="0.2">
      <c r="B189" s="106">
        <v>5</v>
      </c>
      <c r="C189" s="120">
        <f t="shared" si="33"/>
        <v>148.23714285714286</v>
      </c>
      <c r="D189" s="699">
        <f t="shared" si="34"/>
        <v>219.23714285714286</v>
      </c>
      <c r="E189" s="120">
        <f t="shared" si="35"/>
        <v>130.23714285714286</v>
      </c>
      <c r="F189" s="120">
        <f t="shared" si="31"/>
        <v>123.09714285714287</v>
      </c>
      <c r="G189" s="176">
        <f t="shared" si="31"/>
        <v>7.14</v>
      </c>
      <c r="H189" s="156">
        <f t="shared" si="36"/>
        <v>5.8002970940488341E-2</v>
      </c>
      <c r="I189" s="120">
        <f t="shared" si="37"/>
        <v>74.5</v>
      </c>
      <c r="J189" s="695">
        <f t="shared" si="39"/>
        <v>71</v>
      </c>
      <c r="K189" s="691">
        <v>4</v>
      </c>
      <c r="L189" s="317">
        <f t="shared" si="39"/>
        <v>14</v>
      </c>
      <c r="M189" s="242">
        <v>75</v>
      </c>
      <c r="O189" s="242">
        <v>74.5</v>
      </c>
      <c r="P189" s="242">
        <v>8.5</v>
      </c>
      <c r="Q189" s="423">
        <v>209</v>
      </c>
      <c r="R189" s="434">
        <f t="shared" si="38"/>
        <v>10.237142857142857</v>
      </c>
      <c r="S189" s="435">
        <f t="shared" si="32"/>
        <v>2.04</v>
      </c>
    </row>
    <row r="190" spans="2:26" ht="15" customHeight="1" x14ac:dyDescent="0.2">
      <c r="B190" s="106">
        <v>10</v>
      </c>
      <c r="C190" s="121">
        <f t="shared" si="33"/>
        <v>230.18857142857144</v>
      </c>
      <c r="D190" s="700">
        <f t="shared" si="34"/>
        <v>301.18857142857144</v>
      </c>
      <c r="E190" s="121">
        <f t="shared" si="35"/>
        <v>212.18857142857146</v>
      </c>
      <c r="F190" s="121">
        <f t="shared" si="31"/>
        <v>192.19857142857146</v>
      </c>
      <c r="G190" s="177">
        <f t="shared" si="31"/>
        <v>19.989999999999998</v>
      </c>
      <c r="H190" s="157">
        <f t="shared" si="36"/>
        <v>0.10400701655282109</v>
      </c>
      <c r="I190" s="121">
        <f t="shared" si="37"/>
        <v>74.599999999999994</v>
      </c>
      <c r="J190" s="696">
        <f t="shared" si="39"/>
        <v>71</v>
      </c>
      <c r="K190" s="692">
        <v>4</v>
      </c>
      <c r="L190" s="318">
        <f t="shared" si="39"/>
        <v>14</v>
      </c>
      <c r="M190" s="243">
        <v>75</v>
      </c>
      <c r="O190" s="243">
        <v>74.599999999999994</v>
      </c>
      <c r="P190" s="243">
        <v>10.6</v>
      </c>
      <c r="Q190" s="424">
        <v>287</v>
      </c>
      <c r="R190" s="436">
        <f t="shared" si="38"/>
        <v>14.188571428571436</v>
      </c>
      <c r="S190" s="437">
        <f t="shared" si="32"/>
        <v>4.8899999999999988</v>
      </c>
    </row>
    <row r="191" spans="2:26" ht="15" customHeight="1" x14ac:dyDescent="0.2">
      <c r="B191" s="106">
        <v>20</v>
      </c>
      <c r="C191" s="121">
        <f t="shared" si="33"/>
        <v>373.48571428571432</v>
      </c>
      <c r="D191" s="700">
        <f t="shared" si="34"/>
        <v>444.48571428571432</v>
      </c>
      <c r="E191" s="121">
        <f t="shared" si="35"/>
        <v>355.48571428571432</v>
      </c>
      <c r="F191" s="121">
        <f t="shared" si="31"/>
        <v>309.10571428571433</v>
      </c>
      <c r="G191" s="177">
        <f t="shared" si="31"/>
        <v>46.38</v>
      </c>
      <c r="H191" s="157">
        <f t="shared" si="36"/>
        <v>0.15004575411093754</v>
      </c>
      <c r="I191" s="121">
        <f t="shared" si="37"/>
        <v>74.5</v>
      </c>
      <c r="J191" s="696">
        <f t="shared" si="39"/>
        <v>71</v>
      </c>
      <c r="K191" s="692">
        <v>4</v>
      </c>
      <c r="L191" s="318">
        <f t="shared" si="39"/>
        <v>14</v>
      </c>
      <c r="M191" s="243">
        <v>75</v>
      </c>
      <c r="O191" s="243">
        <v>74.5</v>
      </c>
      <c r="P191" s="243">
        <v>12.4</v>
      </c>
      <c r="Q191" s="424">
        <v>439</v>
      </c>
      <c r="R191" s="436">
        <f t="shared" si="38"/>
        <v>5.4857142857143231</v>
      </c>
      <c r="S191" s="437">
        <f t="shared" si="32"/>
        <v>2.3800000000000026</v>
      </c>
      <c r="X191">
        <f>367-330</f>
        <v>37</v>
      </c>
    </row>
    <row r="192" spans="2:26" ht="15" customHeight="1" x14ac:dyDescent="0.2">
      <c r="B192" s="106">
        <v>30</v>
      </c>
      <c r="C192" s="121">
        <f t="shared" si="33"/>
        <v>492.94142857142856</v>
      </c>
      <c r="D192" s="700">
        <f t="shared" si="34"/>
        <v>563.94142857142856</v>
      </c>
      <c r="E192" s="121">
        <f>F192+G192</f>
        <v>474.94142857142856</v>
      </c>
      <c r="F192" s="121">
        <f t="shared" si="31"/>
        <v>412.99142857142857</v>
      </c>
      <c r="G192" s="177">
        <f t="shared" si="31"/>
        <v>61.95</v>
      </c>
      <c r="H192" s="157">
        <f t="shared" si="36"/>
        <v>0.15000311317426165</v>
      </c>
      <c r="I192" s="121">
        <f t="shared" si="37"/>
        <v>74.900000000000006</v>
      </c>
      <c r="J192" s="696">
        <f t="shared" si="39"/>
        <v>71</v>
      </c>
      <c r="K192" s="692">
        <v>4</v>
      </c>
      <c r="L192" s="318">
        <f t="shared" si="39"/>
        <v>14</v>
      </c>
      <c r="M192" s="243">
        <v>75</v>
      </c>
      <c r="O192" s="243">
        <v>74.900000000000006</v>
      </c>
      <c r="P192" s="243">
        <v>12</v>
      </c>
      <c r="Q192" s="424">
        <v>562</v>
      </c>
      <c r="R192" s="436">
        <f t="shared" si="38"/>
        <v>1.9414285714285597</v>
      </c>
      <c r="S192" s="437">
        <f t="shared" si="32"/>
        <v>-1.1499999999999986</v>
      </c>
    </row>
    <row r="193" spans="1:24" ht="15" customHeight="1" x14ac:dyDescent="0.2">
      <c r="B193" s="106">
        <v>40</v>
      </c>
      <c r="C193" s="121">
        <f t="shared" si="33"/>
        <v>603.90571428571423</v>
      </c>
      <c r="D193" s="700">
        <f t="shared" si="34"/>
        <v>674.90571428571423</v>
      </c>
      <c r="E193" s="121">
        <f t="shared" ref="E193:E194" si="40">F193+G193</f>
        <v>584.90571428571423</v>
      </c>
      <c r="F193" s="121">
        <f t="shared" si="31"/>
        <v>508.60571428571427</v>
      </c>
      <c r="G193" s="177">
        <f t="shared" si="31"/>
        <v>76.3</v>
      </c>
      <c r="H193" s="157">
        <f t="shared" si="36"/>
        <v>0.15001797631620339</v>
      </c>
      <c r="I193" s="121">
        <f t="shared" si="37"/>
        <v>75.400000000000006</v>
      </c>
      <c r="J193" s="696">
        <f t="shared" si="39"/>
        <v>71</v>
      </c>
      <c r="K193" s="692">
        <v>4</v>
      </c>
      <c r="L193" s="318">
        <f t="shared" si="39"/>
        <v>14</v>
      </c>
      <c r="M193" s="243">
        <v>76</v>
      </c>
      <c r="O193" s="243">
        <v>75.400000000000006</v>
      </c>
      <c r="P193" s="243">
        <v>12.9</v>
      </c>
      <c r="Q193" s="424">
        <v>675</v>
      </c>
      <c r="R193" s="436">
        <f t="shared" si="38"/>
        <v>-9.4285714285774702E-2</v>
      </c>
      <c r="S193" s="437">
        <f t="shared" si="32"/>
        <v>-2.5</v>
      </c>
      <c r="X193">
        <f>343+37</f>
        <v>380</v>
      </c>
    </row>
    <row r="194" spans="1:24" ht="15" customHeight="1" thickBot="1" x14ac:dyDescent="0.25">
      <c r="B194" s="106">
        <v>50</v>
      </c>
      <c r="C194" s="120">
        <f>(D194-J194)</f>
        <v>710.79857142857145</v>
      </c>
      <c r="D194" s="701">
        <f>(F194+G194+M194+L194)+$E$179</f>
        <v>781.79857142857145</v>
      </c>
      <c r="E194" s="120">
        <f t="shared" si="40"/>
        <v>690.79857142857145</v>
      </c>
      <c r="F194" s="120">
        <f t="shared" si="31"/>
        <v>600.69857142857143</v>
      </c>
      <c r="G194" s="176">
        <f t="shared" si="31"/>
        <v>90.1</v>
      </c>
      <c r="H194" s="156">
        <f t="shared" si="36"/>
        <v>0.14999203308528877</v>
      </c>
      <c r="I194" s="120">
        <f t="shared" si="37"/>
        <v>76.599999999999994</v>
      </c>
      <c r="J194" s="697">
        <f t="shared" si="39"/>
        <v>71</v>
      </c>
      <c r="K194" s="693">
        <v>4</v>
      </c>
      <c r="L194" s="553">
        <f t="shared" si="39"/>
        <v>14</v>
      </c>
      <c r="M194" s="554">
        <v>77</v>
      </c>
      <c r="O194" s="554">
        <v>76.599999999999994</v>
      </c>
      <c r="P194" s="242">
        <v>13.4</v>
      </c>
      <c r="Q194" s="423">
        <v>786</v>
      </c>
      <c r="R194" s="438">
        <f t="shared" si="38"/>
        <v>-4.2014285714285506</v>
      </c>
      <c r="S194" s="439">
        <f t="shared" si="32"/>
        <v>-3.7000000000000028</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2.52</v>
      </c>
      <c r="E205" s="255">
        <v>1</v>
      </c>
      <c r="F205" s="249">
        <v>1.4090885276242389</v>
      </c>
      <c r="G205" s="122">
        <v>1.4090885276242389</v>
      </c>
      <c r="H205" s="34">
        <f>(D206*2.20462*25.4*12)</f>
        <v>3158.2504271999996</v>
      </c>
      <c r="I205" s="5">
        <f>F205*D$205*SQRT(4*D$207*H$205/32.2)/12</f>
        <v>54.037142857142868</v>
      </c>
      <c r="J205" s="1"/>
      <c r="K205" s="22"/>
      <c r="L205" s="96">
        <v>1</v>
      </c>
      <c r="M205" s="92">
        <f>L205*I205</f>
        <v>54.037142857142868</v>
      </c>
      <c r="N205" s="13"/>
      <c r="O205" s="84">
        <v>1</v>
      </c>
      <c r="P205" s="92">
        <f>C185</f>
        <v>54.037142857142868</v>
      </c>
      <c r="Q205" s="254">
        <f>P205/M205</f>
        <v>1</v>
      </c>
      <c r="R205" s="254">
        <f>G205*Q205</f>
        <v>1.4090885276242389</v>
      </c>
      <c r="S205" s="267" t="s">
        <v>138</v>
      </c>
    </row>
    <row r="206" spans="1:24" ht="15" customHeight="1" x14ac:dyDescent="0.2">
      <c r="B206" s="259" t="s">
        <v>7</v>
      </c>
      <c r="C206" s="12" t="s">
        <v>10</v>
      </c>
      <c r="D206" s="444">
        <v>4.7</v>
      </c>
      <c r="E206" s="255">
        <v>2</v>
      </c>
      <c r="F206" s="250">
        <v>1.0969832043923931</v>
      </c>
      <c r="G206" s="123">
        <v>1.0969832043923931</v>
      </c>
      <c r="H206" s="35"/>
      <c r="I206" s="5">
        <f>F206*D$205*SQRT(4*D$207*H$205/32.2)/12</f>
        <v>42.068214285714276</v>
      </c>
      <c r="J206" s="1"/>
      <c r="K206" s="22"/>
      <c r="L206" s="97">
        <v>2</v>
      </c>
      <c r="M206" s="93">
        <f>L206*I206</f>
        <v>84.136428571428553</v>
      </c>
      <c r="N206" s="13"/>
      <c r="O206" s="84">
        <v>2</v>
      </c>
      <c r="P206" s="93">
        <f t="shared" ref="P206:P214" si="41">C186</f>
        <v>84.136428571428553</v>
      </c>
      <c r="Q206" s="254">
        <f t="shared" ref="Q206:Q214" si="42">P206/M206</f>
        <v>1</v>
      </c>
      <c r="R206" s="254">
        <f t="shared" ref="R206:R214" si="43">G206*Q206</f>
        <v>1.0969832043923931</v>
      </c>
      <c r="S206" s="267" t="s">
        <v>139</v>
      </c>
    </row>
    <row r="207" spans="1:24" ht="15" customHeight="1" x14ac:dyDescent="0.2">
      <c r="B207" s="261" t="s">
        <v>8</v>
      </c>
      <c r="C207" s="262" t="s">
        <v>15</v>
      </c>
      <c r="D207" s="263">
        <v>85</v>
      </c>
      <c r="E207" s="255">
        <v>3</v>
      </c>
      <c r="F207" s="249">
        <v>0.9519400169988298</v>
      </c>
      <c r="G207" s="122">
        <v>0.9519400169988298</v>
      </c>
      <c r="H207" s="35"/>
      <c r="I207" s="5">
        <f t="shared" ref="I207:I214" si="44">F207*D$205*SQRT(4*D$207*H$205/32.2)/12</f>
        <v>36.505952380952387</v>
      </c>
      <c r="J207" s="1"/>
      <c r="K207" s="22"/>
      <c r="L207" s="98">
        <v>3</v>
      </c>
      <c r="M207" s="94">
        <f t="shared" ref="M207:M213" si="45">L207*I207</f>
        <v>109.51785714285717</v>
      </c>
      <c r="N207" s="13"/>
      <c r="O207" s="84">
        <v>3</v>
      </c>
      <c r="P207" s="94">
        <f t="shared" si="41"/>
        <v>109.51785714285717</v>
      </c>
      <c r="Q207" s="254">
        <f t="shared" si="42"/>
        <v>1</v>
      </c>
      <c r="R207" s="254">
        <f t="shared" si="43"/>
        <v>0.9519400169988298</v>
      </c>
    </row>
    <row r="208" spans="1:24" ht="15" customHeight="1" x14ac:dyDescent="0.2">
      <c r="E208" s="30">
        <v>4</v>
      </c>
      <c r="F208" s="249">
        <v>0.85218266351356176</v>
      </c>
      <c r="G208" s="122">
        <v>0.85218266351356176</v>
      </c>
      <c r="H208" s="35"/>
      <c r="I208" s="5">
        <f t="shared" si="44"/>
        <v>32.680357142857147</v>
      </c>
      <c r="J208" s="1"/>
      <c r="K208" s="22"/>
      <c r="L208" s="98">
        <v>4</v>
      </c>
      <c r="M208" s="94">
        <f t="shared" si="45"/>
        <v>130.72142857142859</v>
      </c>
      <c r="N208" s="13"/>
      <c r="O208" s="84">
        <v>4</v>
      </c>
      <c r="P208" s="94">
        <f t="shared" si="41"/>
        <v>130.72142857142859</v>
      </c>
      <c r="Q208" s="254">
        <f t="shared" si="42"/>
        <v>1</v>
      </c>
      <c r="R208" s="254">
        <f t="shared" si="43"/>
        <v>0.85218266351356176</v>
      </c>
    </row>
    <row r="209" spans="1:19" ht="15" customHeight="1" x14ac:dyDescent="0.2">
      <c r="B209" s="268" t="s">
        <v>132</v>
      </c>
      <c r="E209" s="30">
        <v>5</v>
      </c>
      <c r="F209" s="250">
        <v>0.77309512059142771</v>
      </c>
      <c r="G209" s="123">
        <v>0.77309512059142771</v>
      </c>
      <c r="H209" s="35"/>
      <c r="I209" s="5">
        <f t="shared" si="44"/>
        <v>29.647428571428566</v>
      </c>
      <c r="J209" s="1"/>
      <c r="K209" s="22"/>
      <c r="L209" s="97">
        <v>5</v>
      </c>
      <c r="M209" s="93">
        <f t="shared" si="45"/>
        <v>148.23714285714283</v>
      </c>
      <c r="N209" s="13"/>
      <c r="O209" s="84">
        <v>5</v>
      </c>
      <c r="P209" s="93">
        <f t="shared" si="41"/>
        <v>148.23714285714286</v>
      </c>
      <c r="Q209" s="254">
        <f t="shared" si="42"/>
        <v>1.0000000000000002</v>
      </c>
      <c r="R209" s="254">
        <f t="shared" si="43"/>
        <v>0.77309512059142793</v>
      </c>
    </row>
    <row r="210" spans="1:19" ht="15" customHeight="1" x14ac:dyDescent="0.2">
      <c r="B210" s="42" t="s">
        <v>131</v>
      </c>
      <c r="E210" s="30">
        <v>10</v>
      </c>
      <c r="F210" s="249">
        <v>0.6002465305164405</v>
      </c>
      <c r="G210" s="122">
        <v>0.6002465305164405</v>
      </c>
      <c r="H210" s="35"/>
      <c r="I210" s="5">
        <f t="shared" si="44"/>
        <v>23.018857142857144</v>
      </c>
      <c r="J210" s="1"/>
      <c r="K210" s="22"/>
      <c r="L210" s="98">
        <v>10</v>
      </c>
      <c r="M210" s="94">
        <f t="shared" si="45"/>
        <v>230.18857142857144</v>
      </c>
      <c r="N210" s="13"/>
      <c r="O210" s="84">
        <v>10</v>
      </c>
      <c r="P210" s="94">
        <f t="shared" si="41"/>
        <v>230.18857142857144</v>
      </c>
      <c r="Q210" s="254">
        <f t="shared" si="42"/>
        <v>1</v>
      </c>
      <c r="R210" s="254">
        <f t="shared" si="43"/>
        <v>0.6002465305164405</v>
      </c>
    </row>
    <row r="211" spans="1:19" ht="15" customHeight="1" x14ac:dyDescent="0.2">
      <c r="E211" s="30">
        <v>20</v>
      </c>
      <c r="F211" s="249">
        <v>0.48695620031470543</v>
      </c>
      <c r="G211" s="122">
        <v>0.48695620031470543</v>
      </c>
      <c r="H211" s="35"/>
      <c r="I211" s="5">
        <f t="shared" si="44"/>
        <v>18.674285714285716</v>
      </c>
      <c r="J211" s="1"/>
      <c r="K211" s="22"/>
      <c r="L211" s="98">
        <v>20</v>
      </c>
      <c r="M211" s="94">
        <f t="shared" si="45"/>
        <v>373.48571428571432</v>
      </c>
      <c r="N211" s="13"/>
      <c r="O211" s="84">
        <v>20</v>
      </c>
      <c r="P211" s="94">
        <f t="shared" si="41"/>
        <v>373.48571428571432</v>
      </c>
      <c r="Q211" s="254">
        <f t="shared" si="42"/>
        <v>1</v>
      </c>
      <c r="R211" s="254">
        <f t="shared" si="43"/>
        <v>0.48695620031470543</v>
      </c>
    </row>
    <row r="212" spans="1:19" ht="15" customHeight="1" x14ac:dyDescent="0.2">
      <c r="E212" s="30">
        <v>30</v>
      </c>
      <c r="F212" s="249">
        <v>0.42846955203078307</v>
      </c>
      <c r="G212" s="122">
        <v>0.42846955203078307</v>
      </c>
      <c r="H212" s="35"/>
      <c r="I212" s="5">
        <f t="shared" si="44"/>
        <v>16.431380952380952</v>
      </c>
      <c r="J212" s="1"/>
      <c r="K212" s="22"/>
      <c r="L212" s="98">
        <v>30</v>
      </c>
      <c r="M212" s="94">
        <f>L212*I212</f>
        <v>492.94142857142856</v>
      </c>
      <c r="N212" s="13"/>
      <c r="O212" s="84">
        <v>30</v>
      </c>
      <c r="P212" s="94">
        <f t="shared" si="41"/>
        <v>492.94142857142856</v>
      </c>
      <c r="Q212" s="254">
        <f t="shared" si="42"/>
        <v>1</v>
      </c>
      <c r="R212" s="254">
        <f t="shared" si="43"/>
        <v>0.42846955203078307</v>
      </c>
    </row>
    <row r="213" spans="1:19" ht="15" customHeight="1" x14ac:dyDescent="0.2">
      <c r="E213" s="30">
        <v>40</v>
      </c>
      <c r="F213" s="249">
        <v>0.39369060278426526</v>
      </c>
      <c r="G213" s="122">
        <v>0.39369060278426526</v>
      </c>
      <c r="H213" s="35"/>
      <c r="I213" s="5">
        <f t="shared" si="44"/>
        <v>15.097642857142853</v>
      </c>
      <c r="J213" s="1"/>
      <c r="K213" s="22"/>
      <c r="L213" s="98">
        <v>40</v>
      </c>
      <c r="M213" s="94">
        <f t="shared" si="45"/>
        <v>603.90571428571411</v>
      </c>
      <c r="N213" s="13"/>
      <c r="O213" s="84">
        <v>40</v>
      </c>
      <c r="P213" s="126">
        <f t="shared" si="41"/>
        <v>603.90571428571423</v>
      </c>
      <c r="Q213" s="254">
        <f t="shared" si="42"/>
        <v>1.0000000000000002</v>
      </c>
      <c r="R213" s="254">
        <f t="shared" si="43"/>
        <v>0.39369060278426538</v>
      </c>
    </row>
    <row r="214" spans="1:19" ht="15" customHeight="1" x14ac:dyDescent="0.2">
      <c r="E214" s="30">
        <v>50</v>
      </c>
      <c r="F214" s="250">
        <v>0.37069987771172658</v>
      </c>
      <c r="G214" s="123">
        <v>0.37069987771172658</v>
      </c>
      <c r="H214" s="36"/>
      <c r="I214" s="23">
        <f t="shared" si="44"/>
        <v>14.215971428571429</v>
      </c>
      <c r="J214" s="24"/>
      <c r="K214" s="17"/>
      <c r="L214" s="99">
        <v>50</v>
      </c>
      <c r="M214" s="100">
        <f>L214*I214</f>
        <v>710.79857142857145</v>
      </c>
      <c r="N214" s="16"/>
      <c r="O214" s="107">
        <v>50</v>
      </c>
      <c r="P214" s="127">
        <f t="shared" si="41"/>
        <v>710.79857142857145</v>
      </c>
      <c r="Q214" s="254">
        <f t="shared" si="42"/>
        <v>1</v>
      </c>
      <c r="R214" s="254">
        <f t="shared" si="43"/>
        <v>0.37069987771172658</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6">D206</f>
        <v>4.7</v>
      </c>
      <c r="C227" s="1" t="s">
        <v>0</v>
      </c>
      <c r="D227" s="22"/>
      <c r="E227" s="71">
        <v>1</v>
      </c>
      <c r="F227" s="55">
        <f>F185</f>
        <v>35.297142857142866</v>
      </c>
      <c r="G227" s="46">
        <f>F227/E227</f>
        <v>35.297142857142866</v>
      </c>
      <c r="H227" s="178">
        <f t="shared" ref="H227:H236" si="47">SQRT(12*32.2*G227^2/(4*$B$228*($B$227*56)*$B$226^2))</f>
        <v>0.92039694769034286</v>
      </c>
      <c r="I227" s="718"/>
      <c r="J227" s="178">
        <v>0.92039694769034286</v>
      </c>
      <c r="K227" s="544">
        <v>1</v>
      </c>
      <c r="L227" s="549">
        <f>J227*$L$225</f>
        <v>0.92039694769034286</v>
      </c>
      <c r="M227" s="5">
        <f>(B227*2.20462*25.4*12)</f>
        <v>3158.2504271999996</v>
      </c>
      <c r="N227" s="74">
        <f t="shared" ref="N227:N236" si="48">L227*B$226*SQRT(4*B$228*M$227/32.2)/12</f>
        <v>35.296307061329145</v>
      </c>
      <c r="O227" s="597">
        <f>K227*N227</f>
        <v>35.296307061329145</v>
      </c>
      <c r="P227" s="591">
        <f t="shared" ref="P227:P236" si="49">M157</f>
        <v>1.0209648696778373</v>
      </c>
      <c r="Q227" s="60">
        <f>P227*O227</f>
        <v>36.036289538978835</v>
      </c>
      <c r="R227" s="166">
        <f>Q227-O227</f>
        <v>0.73998247764968994</v>
      </c>
      <c r="S227" s="169">
        <f>R227/O227</f>
        <v>2.0964869677837186E-2</v>
      </c>
    </row>
    <row r="228" spans="2:19" ht="15" customHeight="1" x14ac:dyDescent="0.2">
      <c r="B228" s="271">
        <f t="shared" si="46"/>
        <v>85</v>
      </c>
      <c r="C228" s="77" t="s">
        <v>1</v>
      </c>
      <c r="D228" s="17"/>
      <c r="E228" s="70">
        <v>2</v>
      </c>
      <c r="F228" s="54">
        <f t="shared" ref="F228:F236" si="50">F186</f>
        <v>64.211428571428556</v>
      </c>
      <c r="G228" s="45">
        <f t="shared" ref="G228:G236" si="51">F228/E228</f>
        <v>32.105714285714278</v>
      </c>
      <c r="H228" s="179">
        <f t="shared" si="47"/>
        <v>0.83717828243454573</v>
      </c>
      <c r="I228" s="718"/>
      <c r="J228" s="179">
        <v>0.83717828243454573</v>
      </c>
      <c r="K228" s="545">
        <v>2</v>
      </c>
      <c r="L228" s="550">
        <f t="shared" ref="L228:L236" si="52">J228*$L$225</f>
        <v>0.83717828243454573</v>
      </c>
      <c r="N228" s="73">
        <f t="shared" si="48"/>
        <v>32.104954059264649</v>
      </c>
      <c r="O228" s="598">
        <f t="shared" ref="O228:O235" si="53">K228*N228</f>
        <v>64.209908118529299</v>
      </c>
      <c r="P228" s="591">
        <f t="shared" si="49"/>
        <v>1.0299790869449141</v>
      </c>
      <c r="Q228" s="59">
        <f t="shared" ref="Q228:Q236" si="54">P228*O228</f>
        <v>66.134862536739632</v>
      </c>
      <c r="R228" s="167">
        <f t="shared" ref="R228:R236" si="55">Q228-O228</f>
        <v>1.9249544182103335</v>
      </c>
      <c r="S228" s="170">
        <f t="shared" ref="S228:S236" si="56">R228/O228</f>
        <v>2.9979086944914069E-2</v>
      </c>
    </row>
    <row r="229" spans="2:19" ht="15" customHeight="1" x14ac:dyDescent="0.2">
      <c r="E229" s="69">
        <v>3</v>
      </c>
      <c r="F229" s="50">
        <f t="shared" si="50"/>
        <v>88.082857142857151</v>
      </c>
      <c r="G229" s="44">
        <f t="shared" si="51"/>
        <v>29.360952380952384</v>
      </c>
      <c r="H229" s="180">
        <f t="shared" si="47"/>
        <v>0.76560675355743291</v>
      </c>
      <c r="I229" s="718"/>
      <c r="J229" s="180">
        <v>0.76560675355743291</v>
      </c>
      <c r="K229" s="546">
        <v>3</v>
      </c>
      <c r="L229" s="551">
        <f t="shared" si="52"/>
        <v>0.76560675355743291</v>
      </c>
      <c r="N229" s="72">
        <f t="shared" si="48"/>
        <v>29.36025714731305</v>
      </c>
      <c r="O229" s="599">
        <f>K229*N229</f>
        <v>88.080771441939149</v>
      </c>
      <c r="P229" s="591">
        <f t="shared" si="49"/>
        <v>1.0389973726037174</v>
      </c>
      <c r="Q229" s="58">
        <f t="shared" si="54"/>
        <v>91.515690105083323</v>
      </c>
      <c r="R229" s="168">
        <f>Q229-O229</f>
        <v>3.4349186631441739</v>
      </c>
      <c r="S229" s="171">
        <f t="shared" si="56"/>
        <v>3.8997372603717426E-2</v>
      </c>
    </row>
    <row r="230" spans="2:19" ht="15" customHeight="1" x14ac:dyDescent="0.2">
      <c r="E230" s="69">
        <v>4</v>
      </c>
      <c r="F230" s="50">
        <f t="shared" si="50"/>
        <v>107.5114285714286</v>
      </c>
      <c r="G230" s="44">
        <f t="shared" si="51"/>
        <v>26.877857142857149</v>
      </c>
      <c r="H230" s="180">
        <f t="shared" si="47"/>
        <v>0.70085836054395156</v>
      </c>
      <c r="I230" s="718"/>
      <c r="J230" s="180">
        <v>0.70085836054395156</v>
      </c>
      <c r="K230" s="546">
        <v>4</v>
      </c>
      <c r="L230" s="551">
        <f t="shared" si="52"/>
        <v>0.70085836054395156</v>
      </c>
      <c r="N230" s="72">
        <f t="shared" si="48"/>
        <v>26.877220706061891</v>
      </c>
      <c r="O230" s="599">
        <f t="shared" si="53"/>
        <v>107.50888282424756</v>
      </c>
      <c r="P230" s="591">
        <f t="shared" si="49"/>
        <v>1.0484599643891679</v>
      </c>
      <c r="Q230" s="58">
        <f t="shared" si="54"/>
        <v>112.71875945742983</v>
      </c>
      <c r="R230" s="168">
        <f>Q230-O230</f>
        <v>5.2098766331822617</v>
      </c>
      <c r="S230" s="171">
        <f t="shared" si="56"/>
        <v>4.8459964389167901E-2</v>
      </c>
    </row>
    <row r="231" spans="2:19" ht="15" customHeight="1" x14ac:dyDescent="0.2">
      <c r="E231" s="70">
        <v>5</v>
      </c>
      <c r="F231" s="54">
        <f t="shared" si="50"/>
        <v>123.09714285714287</v>
      </c>
      <c r="G231" s="45">
        <f t="shared" si="51"/>
        <v>24.619428571428575</v>
      </c>
      <c r="H231" s="179">
        <f t="shared" si="47"/>
        <v>0.64196830329109156</v>
      </c>
      <c r="I231" s="718"/>
      <c r="J231" s="179">
        <v>0.64196830329109156</v>
      </c>
      <c r="K231" s="545">
        <v>5</v>
      </c>
      <c r="L231" s="550">
        <f t="shared" si="52"/>
        <v>0.64196830329109156</v>
      </c>
      <c r="N231" s="73">
        <f t="shared" si="48"/>
        <v>24.618845611628696</v>
      </c>
      <c r="O231" s="598">
        <f t="shared" si="53"/>
        <v>123.09422805814349</v>
      </c>
      <c r="P231" s="591">
        <f t="shared" si="49"/>
        <v>1.0580029709404883</v>
      </c>
      <c r="Q231" s="59">
        <f t="shared" si="54"/>
        <v>130.23405899114184</v>
      </c>
      <c r="R231" s="167">
        <f t="shared" si="55"/>
        <v>7.1398309329983505</v>
      </c>
      <c r="S231" s="170">
        <f t="shared" si="56"/>
        <v>5.8002970940488417E-2</v>
      </c>
    </row>
    <row r="232" spans="2:19" ht="15" customHeight="1" x14ac:dyDescent="0.2">
      <c r="E232" s="69">
        <v>10</v>
      </c>
      <c r="F232" s="50">
        <f t="shared" si="50"/>
        <v>192.19857142857146</v>
      </c>
      <c r="G232" s="44">
        <f t="shared" si="51"/>
        <v>19.219857142857144</v>
      </c>
      <c r="H232" s="180">
        <f t="shared" si="47"/>
        <v>0.50117081489926751</v>
      </c>
      <c r="I232" s="718"/>
      <c r="J232" s="180">
        <v>0.50117081489926751</v>
      </c>
      <c r="K232" s="547">
        <v>10</v>
      </c>
      <c r="L232" s="551">
        <f t="shared" si="52"/>
        <v>0.50117081489926751</v>
      </c>
      <c r="M232" s="41"/>
      <c r="N232" s="76">
        <f t="shared" si="48"/>
        <v>19.219402038708765</v>
      </c>
      <c r="O232" s="600">
        <f t="shared" si="53"/>
        <v>192.19402038708765</v>
      </c>
      <c r="P232" s="591">
        <f t="shared" si="49"/>
        <v>1.1040070165528211</v>
      </c>
      <c r="Q232" s="58">
        <f t="shared" si="54"/>
        <v>212.18354704684072</v>
      </c>
      <c r="R232" s="168">
        <f t="shared" si="55"/>
        <v>19.989526659753068</v>
      </c>
      <c r="S232" s="171">
        <f t="shared" si="56"/>
        <v>0.10400701655282113</v>
      </c>
    </row>
    <row r="233" spans="2:19" ht="15" customHeight="1" x14ac:dyDescent="0.2">
      <c r="E233" s="69">
        <v>20</v>
      </c>
      <c r="F233" s="50">
        <f t="shared" si="50"/>
        <v>309.10571428571433</v>
      </c>
      <c r="G233" s="44">
        <f t="shared" si="51"/>
        <v>15.455285714285717</v>
      </c>
      <c r="H233" s="180">
        <f t="shared" si="47"/>
        <v>0.40300706078911736</v>
      </c>
      <c r="I233" s="718"/>
      <c r="J233" s="180">
        <v>0.40300706078911736</v>
      </c>
      <c r="K233" s="546">
        <v>20</v>
      </c>
      <c r="L233" s="551">
        <f t="shared" si="52"/>
        <v>0.40300706078911736</v>
      </c>
      <c r="N233" s="72">
        <f t="shared" si="48"/>
        <v>15.45491975086618</v>
      </c>
      <c r="O233" s="599">
        <f t="shared" si="53"/>
        <v>309.09839501732358</v>
      </c>
      <c r="P233" s="591">
        <f t="shared" si="49"/>
        <v>1.1500457541109375</v>
      </c>
      <c r="Q233" s="58">
        <f t="shared" si="54"/>
        <v>355.47729679217832</v>
      </c>
      <c r="R233" s="168">
        <f t="shared" si="55"/>
        <v>46.378901774854739</v>
      </c>
      <c r="S233" s="171">
        <f t="shared" si="56"/>
        <v>0.15004575411093743</v>
      </c>
    </row>
    <row r="234" spans="2:19" ht="15" customHeight="1" x14ac:dyDescent="0.2">
      <c r="E234" s="69">
        <v>30</v>
      </c>
      <c r="F234" s="50">
        <f t="shared" si="50"/>
        <v>412.99142857142857</v>
      </c>
      <c r="G234" s="44">
        <f t="shared" si="51"/>
        <v>13.766380952380953</v>
      </c>
      <c r="H234" s="180">
        <f t="shared" si="47"/>
        <v>0.35896772326856607</v>
      </c>
      <c r="I234" s="718"/>
      <c r="J234" s="180">
        <v>0.35896772326856607</v>
      </c>
      <c r="K234" s="546">
        <v>30</v>
      </c>
      <c r="L234" s="551">
        <f t="shared" si="52"/>
        <v>0.35896772326856607</v>
      </c>
      <c r="N234" s="72">
        <f t="shared" si="48"/>
        <v>13.766054980286933</v>
      </c>
      <c r="O234" s="599">
        <f t="shared" si="53"/>
        <v>412.98164940860801</v>
      </c>
      <c r="P234" s="591">
        <f t="shared" si="49"/>
        <v>1.1500031131742616</v>
      </c>
      <c r="Q234" s="58">
        <f t="shared" si="54"/>
        <v>474.9301825037407</v>
      </c>
      <c r="R234" s="168">
        <f t="shared" si="55"/>
        <v>61.948533095132689</v>
      </c>
      <c r="S234" s="171">
        <f t="shared" si="56"/>
        <v>0.15000311317426168</v>
      </c>
    </row>
    <row r="235" spans="2:19" ht="15" customHeight="1" x14ac:dyDescent="0.2">
      <c r="E235" s="69">
        <v>40</v>
      </c>
      <c r="F235" s="50">
        <f t="shared" si="50"/>
        <v>508.60571428571427</v>
      </c>
      <c r="G235" s="44">
        <f t="shared" si="51"/>
        <v>12.715142857142856</v>
      </c>
      <c r="H235" s="180">
        <f t="shared" si="47"/>
        <v>0.33155597671250864</v>
      </c>
      <c r="I235" s="718"/>
      <c r="J235" s="180">
        <v>0.33155597671250864</v>
      </c>
      <c r="K235" s="546">
        <v>40</v>
      </c>
      <c r="L235" s="551">
        <f t="shared" si="52"/>
        <v>0.33155597671250864</v>
      </c>
      <c r="N235" s="72">
        <f t="shared" si="48"/>
        <v>12.714841777159871</v>
      </c>
      <c r="O235" s="599">
        <f t="shared" si="53"/>
        <v>508.59367108639481</v>
      </c>
      <c r="P235" s="591">
        <f t="shared" si="49"/>
        <v>1.1500179763162033</v>
      </c>
      <c r="Q235" s="58">
        <f t="shared" si="54"/>
        <v>584.89186439000446</v>
      </c>
      <c r="R235" s="168">
        <f t="shared" si="55"/>
        <v>76.298193303609651</v>
      </c>
      <c r="S235" s="171">
        <f t="shared" si="56"/>
        <v>0.15001797631620326</v>
      </c>
    </row>
    <row r="236" spans="2:19" ht="15" customHeight="1" thickBot="1" x14ac:dyDescent="0.25">
      <c r="E236" s="70">
        <v>50</v>
      </c>
      <c r="F236" s="54">
        <f t="shared" si="50"/>
        <v>600.69857142857143</v>
      </c>
      <c r="G236" s="45">
        <f t="shared" si="51"/>
        <v>12.013971428571429</v>
      </c>
      <c r="H236" s="179">
        <f t="shared" si="47"/>
        <v>0.31327245599592402</v>
      </c>
      <c r="I236" s="718"/>
      <c r="J236" s="179">
        <v>0.31327245599592402</v>
      </c>
      <c r="K236" s="555">
        <v>50</v>
      </c>
      <c r="L236" s="556">
        <f t="shared" si="52"/>
        <v>0.31327245599592402</v>
      </c>
      <c r="N236" s="557">
        <f t="shared" si="48"/>
        <v>12.01368695152277</v>
      </c>
      <c r="O236" s="601">
        <f>K236*N236</f>
        <v>600.68434757613852</v>
      </c>
      <c r="P236" s="592">
        <f t="shared" si="49"/>
        <v>1.1499920330852889</v>
      </c>
      <c r="Q236" s="59">
        <f t="shared" si="54"/>
        <v>690.78221411159382</v>
      </c>
      <c r="R236" s="167">
        <f t="shared" si="55"/>
        <v>90.097866535455296</v>
      </c>
      <c r="S236" s="170">
        <f t="shared" si="56"/>
        <v>0.14999203308528883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7">E157</f>
        <v>0.74</v>
      </c>
      <c r="S241" s="327">
        <f>R241/R227</f>
        <v>1.0000236794124717</v>
      </c>
    </row>
    <row r="242" spans="1:19" ht="15" customHeight="1" x14ac:dyDescent="0.2">
      <c r="E242" s="323"/>
      <c r="F242" s="324"/>
      <c r="G242" s="323"/>
      <c r="H242" s="325"/>
      <c r="I242" s="41"/>
      <c r="J242" s="325"/>
      <c r="K242" s="323"/>
      <c r="L242" s="325"/>
      <c r="M242" s="41"/>
      <c r="N242" s="324"/>
      <c r="O242" s="324"/>
      <c r="P242" s="326"/>
      <c r="Q242" s="324"/>
      <c r="R242" s="167">
        <f t="shared" si="57"/>
        <v>1.925</v>
      </c>
      <c r="S242" s="327">
        <f t="shared" ref="S242:S250" si="58">R242/R228</f>
        <v>1.0000236794124762</v>
      </c>
    </row>
    <row r="243" spans="1:19" ht="15" customHeight="1" x14ac:dyDescent="0.2">
      <c r="R243" s="168">
        <f t="shared" si="57"/>
        <v>3.4350000000000001</v>
      </c>
      <c r="S243" s="327">
        <f t="shared" si="58"/>
        <v>1.0000236794124702</v>
      </c>
    </row>
    <row r="244" spans="1:19" ht="15" customHeight="1" x14ac:dyDescent="0.2">
      <c r="R244" s="168">
        <f t="shared" si="57"/>
        <v>5.21</v>
      </c>
      <c r="S244" s="327">
        <f t="shared" si="58"/>
        <v>1.0000236794124744</v>
      </c>
    </row>
    <row r="245" spans="1:19" ht="15" customHeight="1" x14ac:dyDescent="0.2">
      <c r="R245" s="167">
        <f t="shared" si="57"/>
        <v>7.14</v>
      </c>
      <c r="S245" s="327">
        <f t="shared" si="58"/>
        <v>1.0000236794124728</v>
      </c>
    </row>
    <row r="246" spans="1:19" ht="15" customHeight="1" x14ac:dyDescent="0.2">
      <c r="R246" s="168">
        <f t="shared" si="57"/>
        <v>19.989999999999998</v>
      </c>
      <c r="S246" s="327">
        <f t="shared" si="58"/>
        <v>1.0000236794124737</v>
      </c>
    </row>
    <row r="247" spans="1:19" ht="15" customHeight="1" x14ac:dyDescent="0.2">
      <c r="F247" s="41"/>
      <c r="G247" s="41"/>
      <c r="H247" s="41"/>
      <c r="I247" s="41"/>
      <c r="J247" s="41"/>
      <c r="K247" s="41"/>
      <c r="L247" s="41"/>
      <c r="M247" s="41"/>
      <c r="N247" s="41"/>
      <c r="O247" s="41"/>
      <c r="P247" s="41"/>
      <c r="R247" s="168">
        <f t="shared" si="57"/>
        <v>46.38</v>
      </c>
      <c r="S247" s="327">
        <f t="shared" si="58"/>
        <v>1.0000236794124751</v>
      </c>
    </row>
    <row r="248" spans="1:19" ht="15" customHeight="1" x14ac:dyDescent="0.2">
      <c r="B248" s="90"/>
      <c r="R248" s="168">
        <f t="shared" si="57"/>
        <v>61.95</v>
      </c>
      <c r="S248" s="327">
        <f t="shared" si="58"/>
        <v>1.0000236794124739</v>
      </c>
    </row>
    <row r="249" spans="1:19" ht="15" customHeight="1" x14ac:dyDescent="0.2">
      <c r="A249" s="90" t="s">
        <v>95</v>
      </c>
      <c r="B249" s="64" t="s">
        <v>178</v>
      </c>
      <c r="R249" s="168">
        <f t="shared" si="57"/>
        <v>76.3</v>
      </c>
      <c r="S249" s="327">
        <f t="shared" si="58"/>
        <v>1.0000236794124753</v>
      </c>
    </row>
    <row r="250" spans="1:19" ht="15" customHeight="1" x14ac:dyDescent="0.2">
      <c r="R250" s="167">
        <f t="shared" si="57"/>
        <v>90.1</v>
      </c>
      <c r="S250" s="327">
        <f t="shared" si="58"/>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4.7</v>
      </c>
      <c r="C257" s="1" t="s">
        <v>0</v>
      </c>
      <c r="D257" s="22"/>
      <c r="E257" s="71">
        <v>1</v>
      </c>
      <c r="F257" s="166">
        <f>G185</f>
        <v>0.74</v>
      </c>
      <c r="G257" s="49">
        <f>F257/E257</f>
        <v>0.74</v>
      </c>
      <c r="H257" s="178">
        <f>SQRT(12*32.2*G257^2/(4*$B$258*($B$257*56)*$B$256^2))</f>
        <v>1.929600206020712E-2</v>
      </c>
      <c r="I257" s="718"/>
      <c r="J257" s="178">
        <v>1.929600206020712E-2</v>
      </c>
      <c r="K257" s="544">
        <v>1</v>
      </c>
      <c r="L257" s="549">
        <f>J257*$L$255</f>
        <v>1.929600206020712E-2</v>
      </c>
      <c r="M257" s="5">
        <f>(B257*2.20462*25.4*12)</f>
        <v>3158.2504271999996</v>
      </c>
      <c r="N257" s="74">
        <f>L257*B$256*SQRT(4*B$258*M$257/32.2)/12</f>
        <v>0.73998247764968816</v>
      </c>
      <c r="O257" s="218">
        <f>K257*N257</f>
        <v>0.73998247764968816</v>
      </c>
      <c r="Q257" s="218">
        <f t="shared" ref="Q257:Q266" si="59">E157</f>
        <v>0.74</v>
      </c>
      <c r="R257" s="327">
        <f>Q257/O257</f>
        <v>1.0000236794124739</v>
      </c>
    </row>
    <row r="258" spans="2:18" ht="15" customHeight="1" x14ac:dyDescent="0.2">
      <c r="B258" s="271">
        <f>D207</f>
        <v>85</v>
      </c>
      <c r="C258" s="77" t="s">
        <v>1</v>
      </c>
      <c r="D258" s="17"/>
      <c r="E258" s="70">
        <v>2</v>
      </c>
      <c r="F258" s="167">
        <f t="shared" ref="F258:F266" si="60">G186</f>
        <v>1.925</v>
      </c>
      <c r="G258" s="48">
        <f t="shared" ref="G258:G266" si="61">F258/E258</f>
        <v>0.96250000000000002</v>
      </c>
      <c r="H258" s="179">
        <f t="shared" ref="H258:H266" si="62">SQRT(12*32.2*G258^2/(4*$B$258*($B$257*56)*$B$256^2))</f>
        <v>2.5097840517499127E-2</v>
      </c>
      <c r="I258" s="718"/>
      <c r="J258" s="179">
        <v>2.5097840517499127E-2</v>
      </c>
      <c r="K258" s="545">
        <v>2</v>
      </c>
      <c r="L258" s="550">
        <f t="shared" ref="L258:L266" si="63">J258*$L$255</f>
        <v>2.5097840517499127E-2</v>
      </c>
      <c r="N258" s="73">
        <f t="shared" ref="N258:N266" si="64">L258*B$256*SQRT(4*B$258*M$257/32.2)/12</f>
        <v>0.96247720910516865</v>
      </c>
      <c r="O258" s="219">
        <f t="shared" ref="O258" si="65">K258*N258</f>
        <v>1.9249544182103373</v>
      </c>
      <c r="Q258" s="219">
        <f t="shared" si="59"/>
        <v>1.925</v>
      </c>
      <c r="R258" s="327">
        <f t="shared" ref="R258:R266" si="66">Q258/O258</f>
        <v>1.0000236794124742</v>
      </c>
    </row>
    <row r="259" spans="2:18" ht="15" customHeight="1" x14ac:dyDescent="0.2">
      <c r="E259" s="69">
        <v>3</v>
      </c>
      <c r="F259" s="168">
        <f t="shared" si="60"/>
        <v>3.4350000000000001</v>
      </c>
      <c r="G259" s="47">
        <f t="shared" si="61"/>
        <v>1.145</v>
      </c>
      <c r="H259" s="180">
        <f t="shared" si="62"/>
        <v>2.9856651836401557E-2</v>
      </c>
      <c r="I259" s="718"/>
      <c r="J259" s="180">
        <v>2.9856651836401557E-2</v>
      </c>
      <c r="K259" s="546">
        <v>3</v>
      </c>
      <c r="L259" s="551">
        <f t="shared" si="63"/>
        <v>2.9856651836401557E-2</v>
      </c>
      <c r="N259" s="72">
        <f t="shared" si="64"/>
        <v>1.1449728877147203</v>
      </c>
      <c r="O259" s="220">
        <f>K259*N259</f>
        <v>3.4349186631441606</v>
      </c>
      <c r="Q259" s="220">
        <f t="shared" si="59"/>
        <v>3.4350000000000001</v>
      </c>
      <c r="R259" s="327">
        <f t="shared" si="66"/>
        <v>1.0000236794124742</v>
      </c>
    </row>
    <row r="260" spans="2:18" ht="15" customHeight="1" x14ac:dyDescent="0.2">
      <c r="E260" s="69">
        <v>4</v>
      </c>
      <c r="F260" s="168">
        <f t="shared" si="60"/>
        <v>5.21</v>
      </c>
      <c r="G260" s="47">
        <f t="shared" si="61"/>
        <v>1.3025</v>
      </c>
      <c r="H260" s="180">
        <f t="shared" si="62"/>
        <v>3.3963571193810507E-2</v>
      </c>
      <c r="I260" s="718"/>
      <c r="J260" s="180">
        <v>3.3963571193810507E-2</v>
      </c>
      <c r="K260" s="546">
        <v>4</v>
      </c>
      <c r="L260" s="551">
        <f t="shared" si="63"/>
        <v>3.3963571193810507E-2</v>
      </c>
      <c r="N260" s="72">
        <f t="shared" si="64"/>
        <v>1.3024691582955661</v>
      </c>
      <c r="O260" s="220">
        <f t="shared" ref="O260:O266" si="67">K260*N260</f>
        <v>5.2098766331822643</v>
      </c>
      <c r="Q260" s="220">
        <f t="shared" si="59"/>
        <v>5.21</v>
      </c>
      <c r="R260" s="327">
        <f t="shared" si="66"/>
        <v>1.0000236794124739</v>
      </c>
    </row>
    <row r="261" spans="2:18" ht="15" customHeight="1" x14ac:dyDescent="0.2">
      <c r="E261" s="70">
        <v>5</v>
      </c>
      <c r="F261" s="167">
        <f t="shared" si="60"/>
        <v>7.14</v>
      </c>
      <c r="G261" s="48">
        <f t="shared" si="61"/>
        <v>1.4279999999999999</v>
      </c>
      <c r="H261" s="179">
        <f t="shared" si="62"/>
        <v>3.7236068840507786E-2</v>
      </c>
      <c r="I261" s="718"/>
      <c r="J261" s="179">
        <v>3.7236068840507786E-2</v>
      </c>
      <c r="K261" s="545">
        <v>5</v>
      </c>
      <c r="L261" s="550">
        <f t="shared" si="63"/>
        <v>3.7236068840507786E-2</v>
      </c>
      <c r="N261" s="73">
        <f t="shared" si="64"/>
        <v>1.427966186599668</v>
      </c>
      <c r="O261" s="219">
        <f t="shared" si="67"/>
        <v>7.1398309329983398</v>
      </c>
      <c r="Q261" s="219">
        <f t="shared" si="59"/>
        <v>7.14</v>
      </c>
      <c r="R261" s="327">
        <f t="shared" si="66"/>
        <v>1.0000236794124744</v>
      </c>
    </row>
    <row r="262" spans="2:18" ht="15" customHeight="1" x14ac:dyDescent="0.2">
      <c r="E262" s="69">
        <v>10</v>
      </c>
      <c r="F262" s="168">
        <f t="shared" si="60"/>
        <v>19.989999999999998</v>
      </c>
      <c r="G262" s="47">
        <f t="shared" si="61"/>
        <v>1.9989999999999999</v>
      </c>
      <c r="H262" s="180">
        <f t="shared" si="62"/>
        <v>5.2125281241018957E-2</v>
      </c>
      <c r="I262" s="718"/>
      <c r="J262" s="180">
        <v>5.2125281241018957E-2</v>
      </c>
      <c r="K262" s="547">
        <v>10</v>
      </c>
      <c r="L262" s="551">
        <f t="shared" si="63"/>
        <v>5.2125281241018957E-2</v>
      </c>
      <c r="M262" s="41"/>
      <c r="N262" s="76">
        <f t="shared" si="64"/>
        <v>1.9989526659753059</v>
      </c>
      <c r="O262" s="221">
        <f t="shared" si="67"/>
        <v>19.989526659753057</v>
      </c>
      <c r="Q262" s="221">
        <f t="shared" si="59"/>
        <v>19.989999999999998</v>
      </c>
      <c r="R262" s="327">
        <f t="shared" si="66"/>
        <v>1.0000236794124742</v>
      </c>
    </row>
    <row r="263" spans="2:18" ht="15" customHeight="1" x14ac:dyDescent="0.2">
      <c r="E263" s="69">
        <v>20</v>
      </c>
      <c r="F263" s="168">
        <f t="shared" si="60"/>
        <v>46.38</v>
      </c>
      <c r="G263" s="47">
        <f t="shared" si="61"/>
        <v>2.319</v>
      </c>
      <c r="H263" s="180">
        <f t="shared" si="62"/>
        <v>6.0469498348135552E-2</v>
      </c>
      <c r="I263" s="718"/>
      <c r="J263" s="180">
        <v>6.0469498348135552E-2</v>
      </c>
      <c r="K263" s="546">
        <v>20</v>
      </c>
      <c r="L263" s="551">
        <f t="shared" si="63"/>
        <v>6.0469498348135552E-2</v>
      </c>
      <c r="N263" s="72">
        <f t="shared" si="64"/>
        <v>2.3189450887427387</v>
      </c>
      <c r="O263" s="220">
        <f t="shared" si="67"/>
        <v>46.378901774854775</v>
      </c>
      <c r="Q263" s="220">
        <f t="shared" si="59"/>
        <v>46.38</v>
      </c>
      <c r="R263" s="327">
        <f t="shared" si="66"/>
        <v>1.0000236794124742</v>
      </c>
    </row>
    <row r="264" spans="2:18" ht="15" customHeight="1" x14ac:dyDescent="0.2">
      <c r="E264" s="69">
        <v>30</v>
      </c>
      <c r="F264" s="168">
        <f t="shared" si="60"/>
        <v>61.95</v>
      </c>
      <c r="G264" s="47">
        <f t="shared" si="61"/>
        <v>2.0649999999999999</v>
      </c>
      <c r="H264" s="180">
        <f t="shared" si="62"/>
        <v>5.3846276019361761E-2</v>
      </c>
      <c r="I264" s="718"/>
      <c r="J264" s="180">
        <v>5.3846276019361761E-2</v>
      </c>
      <c r="K264" s="546">
        <v>30</v>
      </c>
      <c r="L264" s="551">
        <f t="shared" si="63"/>
        <v>5.3846276019361761E-2</v>
      </c>
      <c r="N264" s="72">
        <f t="shared" si="64"/>
        <v>2.0649511031710892</v>
      </c>
      <c r="O264" s="220">
        <f t="shared" si="67"/>
        <v>61.948533095132674</v>
      </c>
      <c r="Q264" s="220">
        <f t="shared" si="59"/>
        <v>61.95</v>
      </c>
      <c r="R264" s="327">
        <f t="shared" si="66"/>
        <v>1.0000236794124742</v>
      </c>
    </row>
    <row r="265" spans="2:18" ht="15" customHeight="1" x14ac:dyDescent="0.2">
      <c r="E265" s="69">
        <v>40</v>
      </c>
      <c r="F265" s="168">
        <f t="shared" si="60"/>
        <v>76.3</v>
      </c>
      <c r="G265" s="47">
        <f t="shared" si="61"/>
        <v>1.9075</v>
      </c>
      <c r="H265" s="180">
        <f t="shared" si="62"/>
        <v>4.973935666195281E-2</v>
      </c>
      <c r="I265" s="718"/>
      <c r="J265" s="180">
        <v>4.973935666195281E-2</v>
      </c>
      <c r="K265" s="546">
        <v>40</v>
      </c>
      <c r="L265" s="551">
        <f t="shared" si="63"/>
        <v>4.973935666195281E-2</v>
      </c>
      <c r="N265" s="72">
        <f t="shared" si="64"/>
        <v>1.9074548325902436</v>
      </c>
      <c r="O265" s="220">
        <f t="shared" si="67"/>
        <v>76.29819330360975</v>
      </c>
      <c r="Q265" s="220">
        <f t="shared" si="59"/>
        <v>76.3</v>
      </c>
      <c r="R265" s="327">
        <f t="shared" si="66"/>
        <v>1.0000236794124739</v>
      </c>
    </row>
    <row r="266" spans="2:18" ht="15" customHeight="1" thickBot="1" x14ac:dyDescent="0.25">
      <c r="E266" s="70">
        <v>50</v>
      </c>
      <c r="F266" s="167">
        <f t="shared" si="60"/>
        <v>90.1</v>
      </c>
      <c r="G266" s="48">
        <f t="shared" si="61"/>
        <v>1.8019999999999998</v>
      </c>
      <c r="H266" s="179">
        <f t="shared" si="62"/>
        <v>4.6988372584450308E-2</v>
      </c>
      <c r="I266" s="718"/>
      <c r="J266" s="179">
        <v>4.6988372584450308E-2</v>
      </c>
      <c r="K266" s="555">
        <v>50</v>
      </c>
      <c r="L266" s="556">
        <f t="shared" si="63"/>
        <v>4.6988372584450308E-2</v>
      </c>
      <c r="N266" s="557">
        <f t="shared" si="64"/>
        <v>1.8019573307091052</v>
      </c>
      <c r="O266" s="219">
        <f t="shared" si="67"/>
        <v>90.097866535455267</v>
      </c>
      <c r="Q266" s="219">
        <f t="shared" si="59"/>
        <v>90.1</v>
      </c>
      <c r="R266" s="327">
        <f t="shared" si="66"/>
        <v>1.0000236794124742</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914" t="s">
        <v>695</v>
      </c>
      <c r="C274" s="1"/>
      <c r="D274" s="1"/>
      <c r="E274" s="1"/>
      <c r="F274" s="1"/>
      <c r="G274" s="1"/>
      <c r="H274" s="1"/>
      <c r="I274" s="1"/>
      <c r="J274" s="1"/>
      <c r="K274" s="1"/>
      <c r="L274" s="1"/>
      <c r="M274" s="1"/>
      <c r="N274" s="1"/>
      <c r="O274" s="334" t="s">
        <v>195</v>
      </c>
      <c r="P274" s="687" t="s">
        <v>525</v>
      </c>
    </row>
    <row r="275" spans="1:16" ht="15" customHeight="1" x14ac:dyDescent="0.2">
      <c r="A275" s="35"/>
      <c r="B275" s="1"/>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3694s</v>
      </c>
      <c r="C277" s="1"/>
      <c r="D277" s="1"/>
      <c r="E277" s="1"/>
      <c r="F277" s="1"/>
      <c r="G277" s="1"/>
      <c r="H277" s="1"/>
      <c r="I277" s="1"/>
      <c r="J277" s="1"/>
      <c r="K277" s="276"/>
      <c r="L277" s="1"/>
      <c r="M277" s="1"/>
      <c r="N277" s="1"/>
      <c r="O277" s="330"/>
      <c r="P277" s="22"/>
    </row>
    <row r="278" spans="1:16" ht="15" customHeight="1" x14ac:dyDescent="0.2">
      <c r="A278" s="274"/>
      <c r="B278" s="275" t="str">
        <f>B10</f>
        <v>21 XCF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Bert Reynolds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6" ht="15" customHeight="1" x14ac:dyDescent="0.2">
      <c r="A280" s="274"/>
      <c r="B280" s="275" t="str">
        <f>B12</f>
        <v xml:space="preserve"> mx18-psh  phm bladder kit</v>
      </c>
      <c r="C280" s="1"/>
      <c r="E280" s="275" t="str">
        <f>E12</f>
        <v>16 flsprs</v>
      </c>
      <c r="F280" s="1"/>
      <c r="G280" s="1"/>
      <c r="H280" s="1"/>
      <c r="I280" s="1"/>
      <c r="J280" s="1"/>
      <c r="K280" s="276"/>
      <c r="L280" s="1"/>
      <c r="M280" s="1"/>
      <c r="N280" s="1"/>
      <c r="O280" s="330"/>
      <c r="P280" s="22"/>
    </row>
    <row r="281" spans="1:16" ht="15" customHeight="1" x14ac:dyDescent="0.2">
      <c r="A281" s="35"/>
      <c r="B281" s="275" t="str">
        <f>B13</f>
        <v>TRENDLINE</v>
      </c>
      <c r="C281" s="275" t="str">
        <f>C13</f>
        <v>v13</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4.7</v>
      </c>
      <c r="D282" s="1"/>
      <c r="E282" s="1"/>
      <c r="F282" s="1"/>
      <c r="G282" s="1"/>
      <c r="H282" s="1"/>
      <c r="I282" s="441" t="s">
        <v>630</v>
      </c>
      <c r="J282" s="1"/>
      <c r="K282" s="1"/>
      <c r="L282" s="1"/>
      <c r="M282" s="1"/>
      <c r="N282" s="1"/>
      <c r="O282" s="1"/>
      <c r="P282" s="22"/>
    </row>
    <row r="283" spans="1:16"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6" ht="15" customHeight="1" x14ac:dyDescent="0.2">
      <c r="A284" s="35"/>
      <c r="B284" s="1"/>
      <c r="C284" s="1"/>
      <c r="D284" s="1"/>
      <c r="E284" s="1"/>
      <c r="F284" s="1"/>
      <c r="G284" s="1"/>
      <c r="H284" s="446" t="str">
        <f>J155</f>
        <v xml:space="preserve"> 1-6-15</v>
      </c>
      <c r="I284" s="1"/>
      <c r="J284" s="1"/>
      <c r="K284" s="1"/>
      <c r="L284" s="1"/>
      <c r="M284" s="1"/>
      <c r="N284" s="1"/>
      <c r="O284" s="1"/>
      <c r="P284" s="22"/>
    </row>
    <row r="285" spans="1:16" ht="15" customHeight="1" x14ac:dyDescent="0.2">
      <c r="A285" s="300" t="s">
        <v>151</v>
      </c>
      <c r="B285" s="448">
        <f>D206</f>
        <v>4.7</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162">
        <f t="shared" ref="C288:E297" si="68">C185</f>
        <v>54.037142857142868</v>
      </c>
      <c r="D288" s="162">
        <f t="shared" si="68"/>
        <v>125.03714285714287</v>
      </c>
      <c r="E288" s="162">
        <f t="shared" si="68"/>
        <v>36.037142857142868</v>
      </c>
      <c r="F288" s="162">
        <f>G288+J288</f>
        <v>49.297142857142866</v>
      </c>
      <c r="G288" s="162">
        <f t="shared" ref="G288:H297" si="69">F185</f>
        <v>35.297142857142866</v>
      </c>
      <c r="H288" s="887">
        <f t="shared" si="69"/>
        <v>0.74</v>
      </c>
      <c r="I288" s="888">
        <f>M185</f>
        <v>75</v>
      </c>
      <c r="J288" s="162">
        <f t="shared" ref="J288:J297" si="70">L185</f>
        <v>14</v>
      </c>
      <c r="K288" s="886">
        <f>H288/G288</f>
        <v>2.0964869677837131E-2</v>
      </c>
      <c r="L288" s="889">
        <f t="shared" ref="L288:L297" si="71">F205</f>
        <v>1.4090885276242389</v>
      </c>
      <c r="M288" s="889">
        <f t="shared" ref="M288:M297" si="72">H227</f>
        <v>0.92039694769034286</v>
      </c>
      <c r="N288" s="889">
        <f t="shared" ref="N288:N297" si="73">H257</f>
        <v>1.929600206020712E-2</v>
      </c>
      <c r="O288" s="40"/>
      <c r="P288" s="890">
        <f>L288</f>
        <v>1.4090885276242389</v>
      </c>
    </row>
    <row r="289" spans="1:22" ht="15" customHeight="1" x14ac:dyDescent="0.2">
      <c r="A289" s="35"/>
      <c r="B289" s="449">
        <v>2</v>
      </c>
      <c r="C289" s="127">
        <f t="shared" si="68"/>
        <v>84.136428571428553</v>
      </c>
      <c r="D289" s="127">
        <f t="shared" si="68"/>
        <v>155.13642857142855</v>
      </c>
      <c r="E289" s="127">
        <f t="shared" si="68"/>
        <v>66.136428571428553</v>
      </c>
      <c r="F289" s="127">
        <f t="shared" ref="F289:F297" si="74">G289+J289</f>
        <v>78.211428571428556</v>
      </c>
      <c r="G289" s="127">
        <f t="shared" si="69"/>
        <v>64.211428571428556</v>
      </c>
      <c r="H289" s="460">
        <f t="shared" si="69"/>
        <v>1.925</v>
      </c>
      <c r="I289" s="461">
        <f t="shared" ref="I289:I297" si="75">M186</f>
        <v>75</v>
      </c>
      <c r="J289" s="127">
        <f t="shared" si="70"/>
        <v>14</v>
      </c>
      <c r="K289" s="885">
        <f t="shared" ref="K289:K297" si="76">H289/G289</f>
        <v>2.9979086944914132E-2</v>
      </c>
      <c r="L289" s="585">
        <f t="shared" si="71"/>
        <v>1.0969832043923931</v>
      </c>
      <c r="M289" s="585">
        <f t="shared" si="72"/>
        <v>0.83717828243454573</v>
      </c>
      <c r="N289" s="585">
        <f t="shared" si="73"/>
        <v>2.5097840517499127E-2</v>
      </c>
      <c r="O289" s="1"/>
      <c r="P289" s="469">
        <f t="shared" ref="P289:P297" si="77">L289</f>
        <v>1.0969832043923931</v>
      </c>
    </row>
    <row r="290" spans="1:22" ht="15" customHeight="1" x14ac:dyDescent="0.2">
      <c r="A290" s="35"/>
      <c r="B290" s="449">
        <v>3</v>
      </c>
      <c r="C290" s="463">
        <f t="shared" si="68"/>
        <v>109.51785714285717</v>
      </c>
      <c r="D290" s="463">
        <f t="shared" si="68"/>
        <v>180.51785714285717</v>
      </c>
      <c r="E290" s="463">
        <f t="shared" si="68"/>
        <v>91.517857142857153</v>
      </c>
      <c r="F290" s="463">
        <f t="shared" si="74"/>
        <v>102.08285714285715</v>
      </c>
      <c r="G290" s="463">
        <f t="shared" si="69"/>
        <v>88.082857142857151</v>
      </c>
      <c r="H290" s="464">
        <f t="shared" si="69"/>
        <v>3.4350000000000001</v>
      </c>
      <c r="I290" s="465">
        <f t="shared" si="75"/>
        <v>75</v>
      </c>
      <c r="J290" s="463">
        <f t="shared" si="70"/>
        <v>14</v>
      </c>
      <c r="K290" s="886">
        <f t="shared" si="76"/>
        <v>3.8997372603717273E-2</v>
      </c>
      <c r="L290" s="586">
        <f t="shared" si="71"/>
        <v>0.9519400169988298</v>
      </c>
      <c r="M290" s="586">
        <f t="shared" si="72"/>
        <v>0.76560675355743291</v>
      </c>
      <c r="N290" s="586">
        <f t="shared" si="73"/>
        <v>2.9856651836401557E-2</v>
      </c>
      <c r="O290" s="1"/>
      <c r="P290" s="470">
        <f t="shared" si="77"/>
        <v>0.9519400169988298</v>
      </c>
    </row>
    <row r="291" spans="1:22" ht="15" customHeight="1" x14ac:dyDescent="0.2">
      <c r="A291" s="35"/>
      <c r="B291" s="449">
        <v>4</v>
      </c>
      <c r="C291" s="463">
        <f t="shared" si="68"/>
        <v>130.72142857142859</v>
      </c>
      <c r="D291" s="463">
        <f t="shared" si="68"/>
        <v>201.72142857142859</v>
      </c>
      <c r="E291" s="463">
        <f t="shared" si="68"/>
        <v>112.72142857142859</v>
      </c>
      <c r="F291" s="463">
        <f t="shared" si="74"/>
        <v>121.5114285714286</v>
      </c>
      <c r="G291" s="463">
        <f t="shared" si="69"/>
        <v>107.5114285714286</v>
      </c>
      <c r="H291" s="464">
        <f t="shared" si="69"/>
        <v>5.21</v>
      </c>
      <c r="I291" s="465">
        <f t="shared" si="75"/>
        <v>75</v>
      </c>
      <c r="J291" s="463">
        <f t="shared" si="70"/>
        <v>14</v>
      </c>
      <c r="K291" s="886">
        <f t="shared" si="76"/>
        <v>4.8459964389167914E-2</v>
      </c>
      <c r="L291" s="586">
        <f t="shared" si="71"/>
        <v>0.85218266351356176</v>
      </c>
      <c r="M291" s="586">
        <f t="shared" si="72"/>
        <v>0.70085836054395156</v>
      </c>
      <c r="N291" s="586">
        <f t="shared" si="73"/>
        <v>3.3963571193810507E-2</v>
      </c>
      <c r="O291" s="1"/>
      <c r="P291" s="470">
        <f t="shared" si="77"/>
        <v>0.85218266351356176</v>
      </c>
    </row>
    <row r="292" spans="1:22" ht="15" customHeight="1" x14ac:dyDescent="0.2">
      <c r="A292" s="35"/>
      <c r="B292" s="449">
        <v>5</v>
      </c>
      <c r="C292" s="127">
        <f t="shared" si="68"/>
        <v>148.23714285714286</v>
      </c>
      <c r="D292" s="127">
        <f t="shared" si="68"/>
        <v>219.23714285714286</v>
      </c>
      <c r="E292" s="127">
        <f t="shared" si="68"/>
        <v>130.23714285714286</v>
      </c>
      <c r="F292" s="127">
        <f t="shared" si="74"/>
        <v>137.09714285714287</v>
      </c>
      <c r="G292" s="127">
        <f t="shared" si="69"/>
        <v>123.09714285714287</v>
      </c>
      <c r="H292" s="460">
        <f t="shared" si="69"/>
        <v>7.14</v>
      </c>
      <c r="I292" s="461">
        <f t="shared" si="75"/>
        <v>75</v>
      </c>
      <c r="J292" s="127">
        <f t="shared" si="70"/>
        <v>14</v>
      </c>
      <c r="K292" s="885">
        <f t="shared" si="76"/>
        <v>5.8002970940488341E-2</v>
      </c>
      <c r="L292" s="585">
        <f t="shared" si="71"/>
        <v>0.77309512059142771</v>
      </c>
      <c r="M292" s="585">
        <f t="shared" si="72"/>
        <v>0.64196830329109156</v>
      </c>
      <c r="N292" s="585">
        <f t="shared" si="73"/>
        <v>3.7236068840507786E-2</v>
      </c>
      <c r="O292" s="1"/>
      <c r="P292" s="469">
        <f>L292</f>
        <v>0.77309512059142771</v>
      </c>
    </row>
    <row r="293" spans="1:22" ht="15" customHeight="1" x14ac:dyDescent="0.2">
      <c r="A293" s="35"/>
      <c r="B293" s="449">
        <v>10</v>
      </c>
      <c r="C293" s="463">
        <f t="shared" si="68"/>
        <v>230.18857142857144</v>
      </c>
      <c r="D293" s="463">
        <f t="shared" si="68"/>
        <v>301.18857142857144</v>
      </c>
      <c r="E293" s="463">
        <f t="shared" si="68"/>
        <v>212.18857142857146</v>
      </c>
      <c r="F293" s="463">
        <f t="shared" si="74"/>
        <v>206.19857142857146</v>
      </c>
      <c r="G293" s="463">
        <f t="shared" si="69"/>
        <v>192.19857142857146</v>
      </c>
      <c r="H293" s="464">
        <f t="shared" si="69"/>
        <v>19.989999999999998</v>
      </c>
      <c r="I293" s="465">
        <f t="shared" si="75"/>
        <v>75</v>
      </c>
      <c r="J293" s="463">
        <f t="shared" si="70"/>
        <v>14</v>
      </c>
      <c r="K293" s="886">
        <f t="shared" si="76"/>
        <v>0.10400701655282109</v>
      </c>
      <c r="L293" s="586">
        <f t="shared" si="71"/>
        <v>0.6002465305164405</v>
      </c>
      <c r="M293" s="586">
        <f t="shared" si="72"/>
        <v>0.50117081489926751</v>
      </c>
      <c r="N293" s="586">
        <f t="shared" si="73"/>
        <v>5.2125281241018957E-2</v>
      </c>
      <c r="O293" s="1"/>
      <c r="P293" s="470">
        <f t="shared" si="77"/>
        <v>0.6002465305164405</v>
      </c>
    </row>
    <row r="294" spans="1:22" ht="15" customHeight="1" x14ac:dyDescent="0.2">
      <c r="A294" s="35"/>
      <c r="B294" s="449">
        <v>20</v>
      </c>
      <c r="C294" s="463">
        <f t="shared" si="68"/>
        <v>373.48571428571432</v>
      </c>
      <c r="D294" s="463">
        <f t="shared" si="68"/>
        <v>444.48571428571432</v>
      </c>
      <c r="E294" s="463">
        <f t="shared" si="68"/>
        <v>355.48571428571432</v>
      </c>
      <c r="F294" s="463">
        <f t="shared" si="74"/>
        <v>323.10571428571433</v>
      </c>
      <c r="G294" s="463">
        <f t="shared" si="69"/>
        <v>309.10571428571433</v>
      </c>
      <c r="H294" s="464">
        <f t="shared" si="69"/>
        <v>46.38</v>
      </c>
      <c r="I294" s="465">
        <f t="shared" si="75"/>
        <v>75</v>
      </c>
      <c r="J294" s="463">
        <f t="shared" si="70"/>
        <v>14</v>
      </c>
      <c r="K294" s="886">
        <f t="shared" si="76"/>
        <v>0.15004575411093754</v>
      </c>
      <c r="L294" s="586">
        <f t="shared" si="71"/>
        <v>0.48695620031470543</v>
      </c>
      <c r="M294" s="586">
        <f t="shared" si="72"/>
        <v>0.40300706078911736</v>
      </c>
      <c r="N294" s="586">
        <f t="shared" si="73"/>
        <v>6.0469498348135552E-2</v>
      </c>
      <c r="O294" s="1"/>
      <c r="P294" s="470">
        <f t="shared" si="77"/>
        <v>0.48695620031470543</v>
      </c>
    </row>
    <row r="295" spans="1:22" ht="15" customHeight="1" x14ac:dyDescent="0.2">
      <c r="A295" s="35"/>
      <c r="B295" s="449">
        <v>30</v>
      </c>
      <c r="C295" s="463">
        <f t="shared" si="68"/>
        <v>492.94142857142856</v>
      </c>
      <c r="D295" s="463">
        <f t="shared" si="68"/>
        <v>563.94142857142856</v>
      </c>
      <c r="E295" s="463">
        <f t="shared" si="68"/>
        <v>474.94142857142856</v>
      </c>
      <c r="F295" s="463">
        <f t="shared" si="74"/>
        <v>426.99142857142857</v>
      </c>
      <c r="G295" s="463">
        <f t="shared" si="69"/>
        <v>412.99142857142857</v>
      </c>
      <c r="H295" s="464">
        <f t="shared" si="69"/>
        <v>61.95</v>
      </c>
      <c r="I295" s="465">
        <f t="shared" si="75"/>
        <v>75</v>
      </c>
      <c r="J295" s="463">
        <f t="shared" si="70"/>
        <v>14</v>
      </c>
      <c r="K295" s="886">
        <f t="shared" si="76"/>
        <v>0.15000311317426165</v>
      </c>
      <c r="L295" s="586">
        <f t="shared" si="71"/>
        <v>0.42846955203078307</v>
      </c>
      <c r="M295" s="586">
        <f t="shared" si="72"/>
        <v>0.35896772326856607</v>
      </c>
      <c r="N295" s="586">
        <f t="shared" si="73"/>
        <v>5.3846276019361761E-2</v>
      </c>
      <c r="O295" s="1"/>
      <c r="P295" s="470">
        <f t="shared" si="77"/>
        <v>0.42846955203078307</v>
      </c>
      <c r="R295" s="491" t="s">
        <v>531</v>
      </c>
    </row>
    <row r="296" spans="1:22" ht="15" customHeight="1" x14ac:dyDescent="0.2">
      <c r="A296" s="35"/>
      <c r="B296" s="449">
        <v>40</v>
      </c>
      <c r="C296" s="463">
        <f t="shared" si="68"/>
        <v>603.90571428571423</v>
      </c>
      <c r="D296" s="463">
        <f t="shared" si="68"/>
        <v>674.90571428571423</v>
      </c>
      <c r="E296" s="463">
        <f t="shared" si="68"/>
        <v>584.90571428571423</v>
      </c>
      <c r="F296" s="463">
        <f t="shared" si="74"/>
        <v>522.60571428571427</v>
      </c>
      <c r="G296" s="463">
        <f t="shared" si="69"/>
        <v>508.60571428571427</v>
      </c>
      <c r="H296" s="464">
        <f t="shared" si="69"/>
        <v>76.3</v>
      </c>
      <c r="I296" s="465">
        <f t="shared" si="75"/>
        <v>76</v>
      </c>
      <c r="J296" s="463">
        <f t="shared" si="70"/>
        <v>14</v>
      </c>
      <c r="K296" s="886">
        <f t="shared" si="76"/>
        <v>0.15001797631620339</v>
      </c>
      <c r="L296" s="586">
        <f t="shared" si="71"/>
        <v>0.39369060278426526</v>
      </c>
      <c r="M296" s="586">
        <f t="shared" si="72"/>
        <v>0.33155597671250864</v>
      </c>
      <c r="N296" s="586">
        <f t="shared" si="73"/>
        <v>4.973935666195281E-2</v>
      </c>
      <c r="O296" s="1"/>
      <c r="P296" s="470">
        <f t="shared" si="77"/>
        <v>0.39369060278426526</v>
      </c>
      <c r="R296" s="491" t="s">
        <v>532</v>
      </c>
    </row>
    <row r="297" spans="1:22" ht="15" customHeight="1" x14ac:dyDescent="0.2">
      <c r="A297" s="35"/>
      <c r="B297" s="449">
        <v>50</v>
      </c>
      <c r="C297" s="127">
        <f t="shared" si="68"/>
        <v>710.79857142857145</v>
      </c>
      <c r="D297" s="127">
        <f t="shared" si="68"/>
        <v>781.79857142857145</v>
      </c>
      <c r="E297" s="127">
        <f t="shared" si="68"/>
        <v>690.79857142857145</v>
      </c>
      <c r="F297" s="127">
        <f t="shared" si="74"/>
        <v>614.69857142857143</v>
      </c>
      <c r="G297" s="127">
        <f t="shared" si="69"/>
        <v>600.69857142857143</v>
      </c>
      <c r="H297" s="460">
        <f t="shared" si="69"/>
        <v>90.1</v>
      </c>
      <c r="I297" s="461">
        <f t="shared" si="75"/>
        <v>77</v>
      </c>
      <c r="J297" s="127">
        <f t="shared" si="70"/>
        <v>14</v>
      </c>
      <c r="K297" s="885">
        <f t="shared" si="76"/>
        <v>0.14999203308528877</v>
      </c>
      <c r="L297" s="585">
        <f t="shared" si="71"/>
        <v>0.37069987771172658</v>
      </c>
      <c r="M297" s="585">
        <f t="shared" si="72"/>
        <v>0.31327245599592402</v>
      </c>
      <c r="N297" s="585">
        <f t="shared" si="73"/>
        <v>4.6988372584450308E-2</v>
      </c>
      <c r="O297" s="1"/>
      <c r="P297" s="469">
        <f t="shared" si="77"/>
        <v>0.37069987771172658</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633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28"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U303" s="1"/>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U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U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U306" s="1"/>
      <c r="V306" s="1"/>
    </row>
    <row r="307" spans="1:22" ht="15" customHeight="1" x14ac:dyDescent="0.2">
      <c r="A307" s="35"/>
      <c r="B307" s="1"/>
      <c r="C307" s="891"/>
      <c r="D307" s="891"/>
      <c r="E307" s="891"/>
      <c r="F307" s="891"/>
      <c r="G307" s="900" t="s">
        <v>637</v>
      </c>
      <c r="H307" s="901"/>
      <c r="I307" s="901"/>
      <c r="J307" s="901"/>
      <c r="P307" s="892"/>
      <c r="T307" s="1"/>
      <c r="U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U308" s="1"/>
      <c r="V308" s="1"/>
    </row>
    <row r="309" spans="1:22" ht="15" customHeight="1" x14ac:dyDescent="0.2">
      <c r="A309" s="35"/>
      <c r="B309" s="1"/>
      <c r="C309" s="891"/>
      <c r="D309" s="891"/>
      <c r="E309" s="891"/>
      <c r="F309" s="891"/>
      <c r="G309" s="898"/>
      <c r="H309" s="899"/>
      <c r="I309" s="898"/>
      <c r="J309" s="898"/>
      <c r="K309" s="898" t="s">
        <v>358</v>
      </c>
      <c r="L309" s="898" t="s">
        <v>651</v>
      </c>
      <c r="M309" t="s">
        <v>650</v>
      </c>
      <c r="P309" s="892"/>
      <c r="R309" s="491"/>
      <c r="T309" s="1"/>
      <c r="U309" s="1"/>
      <c r="V309" s="1"/>
    </row>
    <row r="310" spans="1:22" ht="15" customHeight="1" x14ac:dyDescent="0.2">
      <c r="A310" s="35"/>
      <c r="B310" s="1"/>
      <c r="C310" s="891"/>
      <c r="D310" s="891"/>
      <c r="E310" s="56" t="s">
        <v>638</v>
      </c>
      <c r="G310" s="898" t="s">
        <v>645</v>
      </c>
      <c r="H310" s="899"/>
      <c r="I310" s="898" t="s">
        <v>640</v>
      </c>
      <c r="J310" s="898" t="s">
        <v>334</v>
      </c>
      <c r="K310" s="898" t="s">
        <v>266</v>
      </c>
      <c r="L310" s="903" t="s">
        <v>647</v>
      </c>
      <c r="M310" s="903" t="s">
        <v>649</v>
      </c>
      <c r="P310" s="892"/>
      <c r="R310" s="28" t="s">
        <v>633</v>
      </c>
      <c r="S310" s="491" t="s">
        <v>635</v>
      </c>
      <c r="T310" s="1"/>
      <c r="U310" s="1"/>
      <c r="V310" s="1"/>
    </row>
    <row r="311" spans="1:22" ht="15" customHeight="1" x14ac:dyDescent="0.2">
      <c r="A311" s="35"/>
      <c r="B311" s="1"/>
      <c r="C311" s="891"/>
      <c r="D311" s="891"/>
      <c r="E311" s="56"/>
      <c r="G311" s="898"/>
      <c r="H311" s="899"/>
      <c r="I311" s="898"/>
      <c r="J311" s="898"/>
      <c r="K311" s="898" t="s">
        <v>358</v>
      </c>
      <c r="L311" s="898" t="s">
        <v>651</v>
      </c>
      <c r="M311" t="s">
        <v>650</v>
      </c>
      <c r="P311" s="892"/>
      <c r="R311" s="28"/>
      <c r="S311" s="491"/>
      <c r="T311" s="1"/>
      <c r="U311" s="1"/>
      <c r="V311" s="1"/>
    </row>
    <row r="312" spans="1:22" ht="15" customHeight="1" x14ac:dyDescent="0.2">
      <c r="A312" s="35"/>
      <c r="B312" s="1"/>
      <c r="C312" s="891"/>
      <c r="D312" s="891"/>
      <c r="E312" s="56" t="s">
        <v>638</v>
      </c>
      <c r="G312" s="898" t="s">
        <v>652</v>
      </c>
      <c r="H312" s="899"/>
      <c r="I312" s="898" t="s">
        <v>640</v>
      </c>
      <c r="J312" s="898" t="s">
        <v>334</v>
      </c>
      <c r="K312" s="898" t="s">
        <v>146</v>
      </c>
      <c r="L312" s="898" t="s">
        <v>646</v>
      </c>
      <c r="M312" s="898" t="s">
        <v>653</v>
      </c>
      <c r="P312" s="892"/>
      <c r="R312" s="28" t="s">
        <v>633</v>
      </c>
      <c r="S312" s="491" t="s">
        <v>634</v>
      </c>
      <c r="T312" s="1"/>
      <c r="U312" s="1"/>
      <c r="V312" s="1"/>
    </row>
    <row r="313" spans="1:22" ht="15" customHeight="1" x14ac:dyDescent="0.2">
      <c r="A313" s="35"/>
      <c r="B313" s="1"/>
      <c r="C313" s="1"/>
      <c r="D313" s="891"/>
      <c r="E313" s="891"/>
      <c r="F313" s="891"/>
      <c r="G313" s="891"/>
      <c r="H313" s="891"/>
      <c r="I313" s="893"/>
      <c r="J313" s="891"/>
      <c r="K313" s="891"/>
      <c r="L313" s="891"/>
      <c r="P313" s="892"/>
      <c r="R313" s="1"/>
      <c r="S313" s="491"/>
      <c r="T313" s="1"/>
      <c r="U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codeName="Sheet7">
    <tabColor theme="8" tint="0.79998168889431442"/>
    <pageSetUpPr fitToPage="1"/>
  </sheetPr>
  <dimension ref="A1:V340"/>
  <sheetViews>
    <sheetView showGridLines="0" zoomScale="86" zoomScaleNormal="86"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22" ht="15" customHeight="1" x14ac:dyDescent="0.2">
      <c r="K1" t="s">
        <v>26</v>
      </c>
      <c r="P1" s="28" t="s">
        <v>362</v>
      </c>
    </row>
    <row r="2" spans="1:22" ht="15" customHeight="1" x14ac:dyDescent="0.2">
      <c r="A2" s="343" t="s">
        <v>306</v>
      </c>
      <c r="B2" s="331" t="s">
        <v>185</v>
      </c>
      <c r="C2" s="332"/>
      <c r="D2" s="332"/>
      <c r="E2" s="332"/>
      <c r="F2" s="332"/>
    </row>
    <row r="3" spans="1:22" ht="15" customHeight="1" x14ac:dyDescent="0.2">
      <c r="A3" s="332"/>
      <c r="B3" s="348" t="s">
        <v>292</v>
      </c>
      <c r="C3" s="332"/>
      <c r="D3" s="332"/>
      <c r="E3" s="332"/>
      <c r="F3" s="332"/>
    </row>
    <row r="4" spans="1:22" ht="15" customHeight="1" x14ac:dyDescent="0.2">
      <c r="A4" s="332"/>
      <c r="B4" s="348" t="s">
        <v>314</v>
      </c>
      <c r="C4" s="332"/>
      <c r="D4" s="332"/>
      <c r="E4" s="332"/>
      <c r="F4" s="332"/>
      <c r="G4" s="332"/>
    </row>
    <row r="5" spans="1:22" ht="15" customHeight="1" x14ac:dyDescent="0.2">
      <c r="A5" s="332"/>
      <c r="B5" s="333" t="s">
        <v>186</v>
      </c>
      <c r="C5" s="332"/>
      <c r="D5" s="332"/>
      <c r="E5" s="332"/>
      <c r="F5" s="332"/>
      <c r="G5" s="332"/>
    </row>
    <row r="6" spans="1:22" ht="15" customHeight="1" x14ac:dyDescent="0.2">
      <c r="A6" s="332"/>
      <c r="B6" s="333" t="s">
        <v>196</v>
      </c>
      <c r="C6" s="332"/>
      <c r="D6" s="332"/>
      <c r="E6" s="332"/>
      <c r="F6" s="332"/>
    </row>
    <row r="7" spans="1:22" ht="15" customHeight="1" x14ac:dyDescent="0.2">
      <c r="P7" s="210" t="s">
        <v>106</v>
      </c>
      <c r="Q7" s="210" t="s">
        <v>107</v>
      </c>
    </row>
    <row r="8" spans="1:22" ht="15" customHeight="1" x14ac:dyDescent="0.2">
      <c r="B8" s="6" t="s">
        <v>4</v>
      </c>
      <c r="C8" s="7"/>
      <c r="D8" s="7"/>
      <c r="E8" s="7"/>
      <c r="F8" s="7"/>
      <c r="G8" s="7"/>
      <c r="H8" s="7"/>
      <c r="I8" s="501" t="s">
        <v>370</v>
      </c>
      <c r="J8" s="7"/>
      <c r="K8" s="7"/>
      <c r="L8" s="8"/>
      <c r="O8" s="212" t="s">
        <v>108</v>
      </c>
      <c r="P8">
        <v>77</v>
      </c>
      <c r="Q8">
        <v>73</v>
      </c>
    </row>
    <row r="9" spans="1:22" ht="15" customHeight="1" x14ac:dyDescent="0.2">
      <c r="B9" s="208" t="s">
        <v>105</v>
      </c>
      <c r="C9" s="158"/>
      <c r="D9" s="158"/>
      <c r="E9" s="158"/>
      <c r="F9" s="158"/>
      <c r="G9" s="158"/>
      <c r="H9" s="158"/>
      <c r="I9" s="158"/>
      <c r="J9" s="158"/>
      <c r="K9" s="158"/>
      <c r="L9" s="158"/>
      <c r="O9" s="212" t="s">
        <v>110</v>
      </c>
      <c r="P9" s="213">
        <v>73</v>
      </c>
      <c r="Q9" s="213">
        <v>69</v>
      </c>
    </row>
    <row r="10" spans="1:22" ht="15" customHeight="1" x14ac:dyDescent="0.2">
      <c r="B10" s="182" t="s">
        <v>102</v>
      </c>
      <c r="C10" s="158"/>
      <c r="D10" s="158"/>
      <c r="E10" s="158"/>
      <c r="F10" s="158"/>
      <c r="G10" s="158"/>
      <c r="H10" s="158"/>
      <c r="I10" s="158"/>
      <c r="J10" s="158"/>
      <c r="K10" s="158"/>
      <c r="L10" s="158"/>
      <c r="O10" s="211" t="s">
        <v>109</v>
      </c>
      <c r="P10">
        <f>P8-P9</f>
        <v>4</v>
      </c>
      <c r="Q10">
        <f>Q8-Q9</f>
        <v>4</v>
      </c>
    </row>
    <row r="11" spans="1:22" ht="15" customHeight="1" x14ac:dyDescent="0.2">
      <c r="B11" s="182"/>
      <c r="C11" s="158"/>
      <c r="D11" s="158"/>
      <c r="E11" s="158"/>
      <c r="F11" s="158"/>
      <c r="G11" s="158"/>
      <c r="H11" s="158"/>
      <c r="I11" s="158"/>
      <c r="J11" s="158"/>
      <c r="K11" s="158"/>
      <c r="L11" s="158"/>
    </row>
    <row r="12" spans="1:22" ht="15" customHeight="1" x14ac:dyDescent="0.2">
      <c r="A12" s="41"/>
      <c r="B12" s="208"/>
      <c r="C12" s="208"/>
      <c r="D12" s="320"/>
      <c r="E12" s="158"/>
      <c r="F12" s="158"/>
      <c r="G12" s="158"/>
      <c r="H12" s="158"/>
      <c r="I12" s="158"/>
      <c r="J12" s="158"/>
      <c r="K12" s="158"/>
      <c r="L12" s="158"/>
      <c r="M12" s="41"/>
    </row>
    <row r="13" spans="1:22" ht="15" customHeight="1" x14ac:dyDescent="0.2">
      <c r="A13" s="41"/>
      <c r="B13" s="208" t="s">
        <v>181</v>
      </c>
      <c r="C13" s="208" t="s">
        <v>232</v>
      </c>
      <c r="D13" s="347" t="s">
        <v>231</v>
      </c>
      <c r="E13" s="158" t="s">
        <v>276</v>
      </c>
      <c r="F13" s="158"/>
      <c r="G13" s="158"/>
      <c r="H13" s="158"/>
      <c r="I13" s="158"/>
      <c r="J13" s="158"/>
      <c r="K13" s="158"/>
      <c r="L13" s="158"/>
      <c r="M13" s="41"/>
    </row>
    <row r="14" spans="1:22" ht="15" customHeight="1" x14ac:dyDescent="0.2">
      <c r="A14" s="41"/>
      <c r="B14" s="329" t="s">
        <v>279</v>
      </c>
      <c r="C14" s="40"/>
      <c r="D14" s="40"/>
      <c r="E14" s="40"/>
      <c r="F14" s="40"/>
      <c r="G14" s="40"/>
      <c r="H14" s="40"/>
      <c r="I14" s="40"/>
      <c r="J14" s="40"/>
      <c r="K14" s="40"/>
      <c r="L14" s="40"/>
      <c r="M14" s="41"/>
    </row>
    <row r="15" spans="1:22" ht="15" customHeight="1" x14ac:dyDescent="0.25">
      <c r="A15" s="41"/>
      <c r="B15" s="282"/>
      <c r="C15" s="40"/>
      <c r="D15" s="40"/>
      <c r="E15" s="40"/>
      <c r="F15" s="40"/>
      <c r="G15" s="40"/>
      <c r="H15" s="40"/>
      <c r="I15" s="40"/>
      <c r="J15" s="40"/>
      <c r="K15" s="40"/>
      <c r="L15" s="40"/>
      <c r="M15" s="41"/>
      <c r="U15" s="64" t="s">
        <v>216</v>
      </c>
      <c r="V15" t="s">
        <v>204</v>
      </c>
    </row>
    <row r="16" spans="1:22" ht="15" customHeight="1" x14ac:dyDescent="0.25">
      <c r="A16" s="41"/>
      <c r="B16" s="282"/>
      <c r="C16" s="40"/>
      <c r="D16" s="40"/>
      <c r="E16" s="40"/>
      <c r="F16" s="40"/>
      <c r="G16" s="40"/>
      <c r="H16" s="40"/>
      <c r="I16" s="40"/>
      <c r="J16" s="40"/>
      <c r="K16" s="40"/>
      <c r="L16" s="40"/>
      <c r="M16" s="41"/>
      <c r="U16" s="38" t="s">
        <v>44</v>
      </c>
      <c r="V16" t="s">
        <v>205</v>
      </c>
    </row>
    <row r="17" spans="1:22" ht="15" customHeight="1" x14ac:dyDescent="0.2">
      <c r="A17" s="41"/>
      <c r="C17" s="40"/>
      <c r="D17" s="40"/>
      <c r="E17" s="40"/>
      <c r="F17" s="40"/>
      <c r="G17" s="40"/>
      <c r="H17" s="40"/>
      <c r="I17" s="40"/>
      <c r="J17" s="40"/>
      <c r="K17" s="40"/>
      <c r="L17" s="40"/>
      <c r="M17" s="41"/>
      <c r="U17" s="38" t="s">
        <v>45</v>
      </c>
      <c r="V17" s="267" t="s">
        <v>223</v>
      </c>
    </row>
    <row r="18" spans="1:22" ht="15" customHeight="1" x14ac:dyDescent="0.2">
      <c r="A18" s="41"/>
      <c r="B18" s="357" t="s">
        <v>233</v>
      </c>
      <c r="D18" s="40"/>
      <c r="E18" s="40"/>
      <c r="F18" s="40"/>
      <c r="G18" s="40"/>
      <c r="H18" s="40"/>
      <c r="I18" s="40"/>
      <c r="J18" s="40"/>
      <c r="K18" s="40"/>
      <c r="L18" s="40"/>
      <c r="M18" s="41"/>
      <c r="U18" s="38" t="s">
        <v>48</v>
      </c>
      <c r="V18" s="267" t="s">
        <v>217</v>
      </c>
    </row>
    <row r="19" spans="1:22" ht="15" customHeight="1" x14ac:dyDescent="0.2">
      <c r="A19" s="41"/>
      <c r="B19" s="336" t="s">
        <v>197</v>
      </c>
      <c r="C19" s="337"/>
      <c r="D19" s="9"/>
      <c r="E19" s="415">
        <v>4</v>
      </c>
      <c r="F19" s="337"/>
      <c r="G19" s="341"/>
      <c r="H19" s="40"/>
      <c r="I19" s="40"/>
      <c r="J19" s="40"/>
      <c r="K19" s="40"/>
      <c r="L19" s="40"/>
      <c r="M19" s="41"/>
      <c r="U19" s="38" t="s">
        <v>75</v>
      </c>
      <c r="V19" s="28" t="s">
        <v>214</v>
      </c>
    </row>
    <row r="20" spans="1:22" ht="15" customHeight="1" x14ac:dyDescent="0.2">
      <c r="A20" s="41"/>
      <c r="B20" s="338"/>
      <c r="C20" s="335" t="str">
        <f>L243</f>
        <v>C-ZETA CURVE</v>
      </c>
      <c r="D20" s="40" t="str">
        <f>M243</f>
        <v xml:space="preserve"> 93_58_30</v>
      </c>
      <c r="E20" s="40"/>
      <c r="F20" s="40"/>
      <c r="G20" s="339"/>
      <c r="H20" s="40"/>
      <c r="I20" s="40"/>
      <c r="J20" s="40"/>
      <c r="K20" s="40"/>
      <c r="L20" s="40"/>
      <c r="M20" s="41"/>
      <c r="U20" s="38" t="s">
        <v>80</v>
      </c>
      <c r="V20" s="267" t="s">
        <v>218</v>
      </c>
    </row>
    <row r="21" spans="1:22" ht="15" customHeight="1" x14ac:dyDescent="0.2">
      <c r="B21" s="340" t="s">
        <v>302</v>
      </c>
      <c r="C21" s="24"/>
      <c r="D21" s="24"/>
      <c r="E21" s="24"/>
      <c r="F21" s="24"/>
      <c r="G21" s="17"/>
      <c r="U21" s="38"/>
      <c r="V21" s="28" t="s">
        <v>219</v>
      </c>
    </row>
    <row r="22" spans="1:22" ht="15" customHeight="1" x14ac:dyDescent="0.2">
      <c r="A22" s="90" t="s">
        <v>44</v>
      </c>
      <c r="B22" s="64" t="s">
        <v>62</v>
      </c>
      <c r="U22" s="38"/>
      <c r="V22" t="s">
        <v>208</v>
      </c>
    </row>
    <row r="23" spans="1:22" ht="15" customHeight="1" x14ac:dyDescent="0.2">
      <c r="U23" s="38" t="s">
        <v>82</v>
      </c>
      <c r="V23" t="s">
        <v>209</v>
      </c>
    </row>
    <row r="24" spans="1:22" ht="15" customHeight="1" x14ac:dyDescent="0.2">
      <c r="U24" s="38" t="s">
        <v>85</v>
      </c>
      <c r="V24" t="s">
        <v>210</v>
      </c>
    </row>
    <row r="25" spans="1:22" ht="15" customHeight="1" x14ac:dyDescent="0.2">
      <c r="B25" s="28" t="s">
        <v>63</v>
      </c>
      <c r="U25" s="38" t="s">
        <v>95</v>
      </c>
      <c r="V25" s="28" t="s">
        <v>211</v>
      </c>
    </row>
    <row r="26" spans="1:22" ht="15" customHeight="1" thickBot="1" x14ac:dyDescent="0.25">
      <c r="U26" s="38" t="s">
        <v>98</v>
      </c>
      <c r="V26" s="28" t="s">
        <v>212</v>
      </c>
    </row>
    <row r="27" spans="1:22" ht="15" customHeight="1" x14ac:dyDescent="0.2">
      <c r="B27" s="67"/>
      <c r="C27" s="68" t="s">
        <v>28</v>
      </c>
      <c r="D27" s="68" t="s">
        <v>28</v>
      </c>
      <c r="E27" s="129" t="s">
        <v>28</v>
      </c>
      <c r="U27" s="38"/>
    </row>
    <row r="28" spans="1:22" ht="15" customHeight="1" x14ac:dyDescent="0.2">
      <c r="B28" s="67"/>
      <c r="C28" s="68" t="s">
        <v>260</v>
      </c>
      <c r="D28" s="68" t="s">
        <v>261</v>
      </c>
      <c r="E28" s="130" t="s">
        <v>31</v>
      </c>
      <c r="V28" s="267" t="s">
        <v>227</v>
      </c>
    </row>
    <row r="29" spans="1:22" ht="15" customHeight="1" x14ac:dyDescent="0.2">
      <c r="B29" s="68" t="s">
        <v>21</v>
      </c>
      <c r="C29" s="68" t="s">
        <v>29</v>
      </c>
      <c r="D29" s="68" t="s">
        <v>30</v>
      </c>
      <c r="E29" s="130" t="s">
        <v>74</v>
      </c>
    </row>
    <row r="30" spans="1:22" ht="15" customHeight="1" x14ac:dyDescent="0.2">
      <c r="B30" s="68">
        <v>1</v>
      </c>
      <c r="C30" s="65">
        <v>2</v>
      </c>
      <c r="D30" s="65">
        <v>0.75</v>
      </c>
      <c r="E30" s="131">
        <f>SUM(C30:D30)/2</f>
        <v>1.375</v>
      </c>
    </row>
    <row r="31" spans="1:22" ht="15" customHeight="1" x14ac:dyDescent="0.2">
      <c r="B31" s="68">
        <v>2</v>
      </c>
      <c r="C31" s="65">
        <v>4</v>
      </c>
      <c r="D31" s="65">
        <v>2</v>
      </c>
      <c r="E31" s="131">
        <f t="shared" ref="E31:E39" si="0">SUM(C31:D31)/2</f>
        <v>3</v>
      </c>
    </row>
    <row r="32" spans="1:22" ht="15" customHeight="1" x14ac:dyDescent="0.2">
      <c r="B32" s="68">
        <v>3</v>
      </c>
      <c r="C32" s="65">
        <v>5.8</v>
      </c>
      <c r="D32" s="65">
        <v>3.3</v>
      </c>
      <c r="E32" s="131">
        <f t="shared" si="0"/>
        <v>4.55</v>
      </c>
    </row>
    <row r="33" spans="1:5" ht="15" customHeight="1" x14ac:dyDescent="0.2">
      <c r="B33" s="68">
        <v>4</v>
      </c>
      <c r="C33" s="65">
        <v>7.51</v>
      </c>
      <c r="D33" s="65">
        <v>4.7</v>
      </c>
      <c r="E33" s="131">
        <f t="shared" si="0"/>
        <v>6.1050000000000004</v>
      </c>
    </row>
    <row r="34" spans="1:5" ht="15" customHeight="1" x14ac:dyDescent="0.2">
      <c r="B34" s="68">
        <v>5</v>
      </c>
      <c r="C34" s="65">
        <v>9</v>
      </c>
      <c r="D34" s="65">
        <v>5.9</v>
      </c>
      <c r="E34" s="131">
        <f t="shared" si="0"/>
        <v>7.45</v>
      </c>
    </row>
    <row r="35" spans="1:5" ht="15" customHeight="1" x14ac:dyDescent="0.2">
      <c r="B35" s="68">
        <v>10</v>
      </c>
      <c r="C35" s="65">
        <v>11.51</v>
      </c>
      <c r="D35" s="65">
        <v>10</v>
      </c>
      <c r="E35" s="131">
        <f t="shared" si="0"/>
        <v>10.754999999999999</v>
      </c>
    </row>
    <row r="36" spans="1:5" ht="15" customHeight="1" x14ac:dyDescent="0.2">
      <c r="B36" s="68">
        <v>20</v>
      </c>
      <c r="C36" s="65">
        <v>13</v>
      </c>
      <c r="D36" s="65">
        <v>13</v>
      </c>
      <c r="E36" s="131">
        <f t="shared" si="0"/>
        <v>13</v>
      </c>
    </row>
    <row r="37" spans="1:5" ht="15" customHeight="1" x14ac:dyDescent="0.2">
      <c r="B37" s="68">
        <v>30</v>
      </c>
      <c r="C37" s="65">
        <v>13</v>
      </c>
      <c r="D37" s="65">
        <v>13</v>
      </c>
      <c r="E37" s="131">
        <f t="shared" si="0"/>
        <v>13</v>
      </c>
    </row>
    <row r="38" spans="1:5" ht="15" customHeight="1" x14ac:dyDescent="0.2">
      <c r="B38" s="68">
        <v>40</v>
      </c>
      <c r="C38" s="65">
        <v>13</v>
      </c>
      <c r="D38" s="65">
        <v>13</v>
      </c>
      <c r="E38" s="131">
        <f t="shared" si="0"/>
        <v>13</v>
      </c>
    </row>
    <row r="39" spans="1:5" ht="15" customHeight="1" thickBot="1" x14ac:dyDescent="0.25">
      <c r="B39" s="68">
        <v>50</v>
      </c>
      <c r="C39" s="65">
        <v>13</v>
      </c>
      <c r="D39" s="65">
        <v>13</v>
      </c>
      <c r="E39" s="132">
        <f t="shared" si="0"/>
        <v>13</v>
      </c>
    </row>
    <row r="40" spans="1:5" ht="15" customHeight="1" x14ac:dyDescent="0.2"/>
    <row r="41" spans="1:5" ht="15" customHeight="1" x14ac:dyDescent="0.2"/>
    <row r="42" spans="1:5" ht="15" customHeight="1" x14ac:dyDescent="0.2"/>
    <row r="43" spans="1:5" ht="15" customHeight="1" x14ac:dyDescent="0.2"/>
    <row r="44" spans="1:5" ht="15" customHeight="1" x14ac:dyDescent="0.2">
      <c r="A44" s="64" t="s">
        <v>45</v>
      </c>
      <c r="B44" s="64" t="s">
        <v>64</v>
      </c>
    </row>
    <row r="45" spans="1:5" ht="15" customHeight="1" x14ac:dyDescent="0.2">
      <c r="B45" s="90" t="s">
        <v>65</v>
      </c>
    </row>
    <row r="46" spans="1:5" ht="15" customHeight="1" x14ac:dyDescent="0.2">
      <c r="B46" s="90" t="s">
        <v>67</v>
      </c>
    </row>
    <row r="47" spans="1:5" ht="15" customHeight="1" x14ac:dyDescent="0.2"/>
    <row r="48" spans="1:5" ht="15" customHeight="1" x14ac:dyDescent="0.2">
      <c r="B48" s="117" t="s">
        <v>125</v>
      </c>
      <c r="C48" s="117"/>
      <c r="D48" s="117"/>
    </row>
    <row r="49" spans="2:4" ht="15" customHeight="1" x14ac:dyDescent="0.2">
      <c r="B49" s="117" t="s">
        <v>66</v>
      </c>
      <c r="C49" s="116"/>
      <c r="D49" s="117" t="s">
        <v>34</v>
      </c>
    </row>
    <row r="50" spans="2:4" ht="15" customHeight="1" x14ac:dyDescent="0.2">
      <c r="B50" s="117" t="s">
        <v>42</v>
      </c>
      <c r="C50" s="116"/>
      <c r="D50" s="117" t="s">
        <v>42</v>
      </c>
    </row>
    <row r="51" spans="2:4" ht="15" customHeight="1" x14ac:dyDescent="0.2">
      <c r="B51" s="117" t="s">
        <v>43</v>
      </c>
      <c r="C51" s="116" t="s">
        <v>21</v>
      </c>
      <c r="D51" s="117" t="s">
        <v>43</v>
      </c>
    </row>
    <row r="52" spans="2:4" ht="15" customHeight="1" x14ac:dyDescent="0.2">
      <c r="B52" s="109">
        <v>22.3</v>
      </c>
      <c r="C52" s="106">
        <v>1</v>
      </c>
      <c r="D52" s="109">
        <v>22.3</v>
      </c>
    </row>
    <row r="53" spans="2:4" ht="15" customHeight="1" x14ac:dyDescent="0.2">
      <c r="B53" s="110">
        <v>44.8</v>
      </c>
      <c r="C53" s="106">
        <v>2</v>
      </c>
      <c r="D53" s="110">
        <v>44.8</v>
      </c>
    </row>
    <row r="54" spans="2:4" ht="15" customHeight="1" x14ac:dyDescent="0.2">
      <c r="B54" s="105">
        <v>62</v>
      </c>
      <c r="C54" s="106">
        <v>3</v>
      </c>
      <c r="D54" s="128">
        <v>61.5</v>
      </c>
    </row>
    <row r="55" spans="2:4" ht="15" customHeight="1" x14ac:dyDescent="0.2">
      <c r="B55" s="105">
        <v>75.5</v>
      </c>
      <c r="C55" s="106">
        <v>4</v>
      </c>
      <c r="D55" s="128">
        <v>77.5</v>
      </c>
    </row>
    <row r="56" spans="2:4" ht="15" customHeight="1" x14ac:dyDescent="0.2">
      <c r="B56" s="110">
        <v>91.1</v>
      </c>
      <c r="C56" s="106">
        <v>5</v>
      </c>
      <c r="D56" s="110">
        <v>91.1</v>
      </c>
    </row>
    <row r="57" spans="2:4" ht="15" customHeight="1" x14ac:dyDescent="0.2">
      <c r="B57" s="105">
        <v>150.69999999999999</v>
      </c>
      <c r="C57" s="106">
        <v>10</v>
      </c>
      <c r="D57" s="105">
        <v>150.69999999999999</v>
      </c>
    </row>
    <row r="58" spans="2:4" ht="15" customHeight="1" x14ac:dyDescent="0.2">
      <c r="B58" s="105">
        <v>252.2</v>
      </c>
      <c r="C58" s="106">
        <v>20</v>
      </c>
      <c r="D58" s="105">
        <v>252.2</v>
      </c>
    </row>
    <row r="59" spans="2:4" ht="15" customHeight="1" x14ac:dyDescent="0.2">
      <c r="B59" s="105">
        <v>340.1</v>
      </c>
      <c r="C59" s="106">
        <v>30</v>
      </c>
      <c r="D59" s="105">
        <v>340.1</v>
      </c>
    </row>
    <row r="60" spans="2:4" ht="15" customHeight="1" x14ac:dyDescent="0.2">
      <c r="B60" s="105">
        <v>420.4</v>
      </c>
      <c r="C60" s="106">
        <v>40</v>
      </c>
      <c r="D60" s="105">
        <v>420.4</v>
      </c>
    </row>
    <row r="61" spans="2:4" ht="15" customHeight="1" x14ac:dyDescent="0.2">
      <c r="B61" s="110">
        <v>498</v>
      </c>
      <c r="C61" s="106">
        <v>50</v>
      </c>
      <c r="D61" s="110">
        <v>498</v>
      </c>
    </row>
    <row r="62" spans="2:4" ht="15" customHeight="1" x14ac:dyDescent="0.2"/>
    <row r="63" spans="2:4" ht="15" customHeight="1" x14ac:dyDescent="0.2"/>
    <row r="64" spans="2:4" ht="15" customHeight="1" x14ac:dyDescent="0.2"/>
    <row r="65" spans="1:11" ht="15" customHeight="1" x14ac:dyDescent="0.2"/>
    <row r="66" spans="1:11" ht="15" customHeight="1" x14ac:dyDescent="0.2">
      <c r="A66" s="64" t="s">
        <v>48</v>
      </c>
      <c r="B66" s="64" t="s">
        <v>68</v>
      </c>
    </row>
    <row r="67" spans="1:11" ht="15" customHeight="1" x14ac:dyDescent="0.2">
      <c r="B67" s="90" t="s">
        <v>70</v>
      </c>
    </row>
    <row r="68" spans="1:11" ht="15" customHeight="1" x14ac:dyDescent="0.2">
      <c r="B68" s="90"/>
    </row>
    <row r="69" spans="1:11" ht="15" customHeight="1" x14ac:dyDescent="0.2"/>
    <row r="70" spans="1:11" ht="15" customHeight="1" x14ac:dyDescent="0.2">
      <c r="E70" s="409">
        <f>INDEX(LINEST(D$78:D$83,($C$78:$C$83)^{1,2,3}),1)</f>
        <v>0.11100018943729149</v>
      </c>
      <c r="F70" s="408">
        <f>INDEX(LINEST(D$83:D$87,($C$83:$C$87)^{1,2,3}),1)</f>
        <v>9.0833333333334172E-4</v>
      </c>
      <c r="H70" t="s">
        <v>300</v>
      </c>
    </row>
    <row r="71" spans="1:11" ht="15" customHeight="1" x14ac:dyDescent="0.2">
      <c r="E71" s="409">
        <f>INDEX(LINEST(D$78:D$83,($C$78:$C$83)^{1,2,3}),2)</f>
        <v>-2.3465301402625163</v>
      </c>
      <c r="F71" s="408">
        <f>INDEX(LINEST(D$83:D$87,($C$83:$C$87)^{1,2,3}),2)</f>
        <v>-0.12132142857142943</v>
      </c>
      <c r="H71" t="s">
        <v>301</v>
      </c>
    </row>
    <row r="72" spans="1:11" ht="15" customHeight="1" x14ac:dyDescent="0.2">
      <c r="E72" s="409">
        <f>INDEX(LINEST(D$78:D$83,($C$78:$C$83)^{1,2,3}),3)</f>
        <v>27.729332983400511</v>
      </c>
      <c r="F72" s="408">
        <f>INDEX(LINEST(D$83:D$87,($C$83:$C$87)^{1,2,3}),3)</f>
        <v>13.145952380952403</v>
      </c>
    </row>
    <row r="73" spans="1:11" ht="15" customHeight="1" x14ac:dyDescent="0.2">
      <c r="E73" s="409">
        <f>INDEX(LINEST(D$78:D$83,($C$78:$C$83)^{1,2,3}),4)</f>
        <v>-2.9327308175008291</v>
      </c>
      <c r="F73" s="408">
        <f>INDEX(LINEST(D$83:D$87,($C$83:$C$87)^{1,2,3}),4)</f>
        <v>30.479999999999897</v>
      </c>
    </row>
    <row r="74" spans="1:11" ht="15" customHeight="1" x14ac:dyDescent="0.2">
      <c r="E74" s="1"/>
      <c r="F74" s="1"/>
    </row>
    <row r="75" spans="1:11" ht="15" customHeight="1" x14ac:dyDescent="0.2">
      <c r="C75" s="116"/>
      <c r="D75" s="117" t="s">
        <v>69</v>
      </c>
      <c r="E75" s="117"/>
      <c r="F75" s="1"/>
      <c r="H75" s="133"/>
      <c r="I75" s="391" t="s">
        <v>56</v>
      </c>
      <c r="J75" s="133"/>
      <c r="K75" s="133"/>
    </row>
    <row r="76" spans="1:11" ht="15" customHeight="1" x14ac:dyDescent="0.2">
      <c r="C76" s="116"/>
      <c r="D76" s="117" t="s">
        <v>42</v>
      </c>
      <c r="E76" s="117"/>
      <c r="F76" s="1"/>
      <c r="H76" s="133"/>
      <c r="I76" s="392" t="s">
        <v>33</v>
      </c>
      <c r="J76" s="133" t="s">
        <v>34</v>
      </c>
      <c r="K76" s="413" t="s">
        <v>298</v>
      </c>
    </row>
    <row r="77" spans="1:11" ht="15" customHeight="1" x14ac:dyDescent="0.2">
      <c r="C77" s="116" t="s">
        <v>21</v>
      </c>
      <c r="D77" s="117" t="s">
        <v>43</v>
      </c>
      <c r="E77" s="117"/>
      <c r="F77" s="1"/>
      <c r="H77" s="133" t="s">
        <v>21</v>
      </c>
      <c r="I77" s="392" t="s">
        <v>72</v>
      </c>
      <c r="J77" s="133" t="s">
        <v>264</v>
      </c>
      <c r="K77" s="414" t="s">
        <v>299</v>
      </c>
    </row>
    <row r="78" spans="1:11" ht="15" customHeight="1" x14ac:dyDescent="0.2">
      <c r="C78" s="106">
        <v>1</v>
      </c>
      <c r="D78" s="109">
        <f>D52</f>
        <v>22.3</v>
      </c>
      <c r="E78" s="114">
        <f>(E$70*($C78)^3)+(E$71*($C78)^2)+(E$72*($C78)^1)+(E$73)</f>
        <v>22.561072215074457</v>
      </c>
      <c r="F78" s="2"/>
      <c r="H78" s="106">
        <v>1</v>
      </c>
      <c r="I78" s="393">
        <f>E78</f>
        <v>22.561072215074457</v>
      </c>
      <c r="J78" s="109">
        <f>B52</f>
        <v>22.3</v>
      </c>
      <c r="K78" s="410">
        <f>I78-J78</f>
        <v>0.26107221507445644</v>
      </c>
    </row>
    <row r="79" spans="1:11" ht="15" customHeight="1" x14ac:dyDescent="0.2">
      <c r="C79" s="106">
        <v>2</v>
      </c>
      <c r="D79" s="110">
        <f t="shared" ref="D79:D87" si="1">D53</f>
        <v>44.8</v>
      </c>
      <c r="E79" s="114">
        <f t="shared" ref="E79:E83" si="2">(E$70*($C79)^3)+(E$71*($C79)^2)+(E$72*($C79)^1)+(E$73)</f>
        <v>44.027816103748464</v>
      </c>
      <c r="F79" s="2"/>
      <c r="H79" s="106">
        <v>2</v>
      </c>
      <c r="I79" s="393">
        <f>E79</f>
        <v>44.027816103748464</v>
      </c>
      <c r="J79" s="110">
        <f t="shared" ref="J79:J87" si="3">B53</f>
        <v>44.8</v>
      </c>
      <c r="K79" s="411">
        <f t="shared" ref="K79:K87" si="4">I79-J79</f>
        <v>-0.7721838962515335</v>
      </c>
    </row>
    <row r="80" spans="1:11" ht="15" customHeight="1" x14ac:dyDescent="0.2">
      <c r="B80" t="s">
        <v>296</v>
      </c>
      <c r="C80" s="106">
        <v>3</v>
      </c>
      <c r="D80" s="105">
        <f t="shared" si="1"/>
        <v>61.5</v>
      </c>
      <c r="E80" s="114">
        <f t="shared" si="2"/>
        <v>62.133501985144932</v>
      </c>
      <c r="F80" s="2"/>
      <c r="H80" s="106">
        <v>3</v>
      </c>
      <c r="I80" s="393">
        <f>E80</f>
        <v>62.133501985144932</v>
      </c>
      <c r="J80" s="105">
        <f t="shared" si="3"/>
        <v>62</v>
      </c>
      <c r="K80" s="412">
        <f t="shared" si="4"/>
        <v>0.13350198514493172</v>
      </c>
    </row>
    <row r="81" spans="1:11" ht="15" customHeight="1" x14ac:dyDescent="0.2">
      <c r="C81" s="106">
        <v>4</v>
      </c>
      <c r="D81" s="105">
        <f t="shared" si="1"/>
        <v>77.5</v>
      </c>
      <c r="E81" s="114">
        <f t="shared" si="2"/>
        <v>77.544130995887613</v>
      </c>
      <c r="F81" s="2"/>
      <c r="H81" s="106">
        <v>4</v>
      </c>
      <c r="I81" s="393">
        <f>E81</f>
        <v>77.544130995887613</v>
      </c>
      <c r="J81" s="105">
        <f t="shared" si="3"/>
        <v>75.5</v>
      </c>
      <c r="K81" s="412">
        <f t="shared" si="4"/>
        <v>2.0441309958876133</v>
      </c>
    </row>
    <row r="82" spans="1:11" ht="15" customHeight="1" x14ac:dyDescent="0.2">
      <c r="C82" s="106">
        <v>5</v>
      </c>
      <c r="D82" s="110">
        <f t="shared" si="1"/>
        <v>91.1</v>
      </c>
      <c r="E82" s="114">
        <f t="shared" si="2"/>
        <v>90.925704272600271</v>
      </c>
      <c r="F82" s="2"/>
      <c r="H82" s="106">
        <v>5</v>
      </c>
      <c r="I82" s="393">
        <f>E82</f>
        <v>90.925704272600271</v>
      </c>
      <c r="J82" s="110">
        <f t="shared" si="3"/>
        <v>91.1</v>
      </c>
      <c r="K82" s="411">
        <f t="shared" si="4"/>
        <v>-0.17429572739972343</v>
      </c>
    </row>
    <row r="83" spans="1:11" ht="15" customHeight="1" x14ac:dyDescent="0.2">
      <c r="C83" s="106">
        <v>10</v>
      </c>
      <c r="D83" s="105">
        <f t="shared" si="1"/>
        <v>150.69999999999999</v>
      </c>
      <c r="E83" s="114">
        <f t="shared" si="2"/>
        <v>150.70777442754417</v>
      </c>
      <c r="F83" s="115">
        <f>(F$70*($C83)^3)+(F$71*($C83)^2)+(F$72*($C83)^1)+(F$73)</f>
        <v>150.71571428571431</v>
      </c>
      <c r="H83" s="106">
        <v>10</v>
      </c>
      <c r="I83" s="393">
        <f>(E83+F83)/2</f>
        <v>150.71174435662925</v>
      </c>
      <c r="J83" s="105">
        <f t="shared" si="3"/>
        <v>150.69999999999999</v>
      </c>
      <c r="K83" s="412">
        <f t="shared" si="4"/>
        <v>1.1744356629264985E-2</v>
      </c>
    </row>
    <row r="84" spans="1:11" ht="15" customHeight="1" x14ac:dyDescent="0.2">
      <c r="C84" s="106">
        <v>20</v>
      </c>
      <c r="D84" s="105">
        <f t="shared" si="1"/>
        <v>252.2</v>
      </c>
      <c r="E84" s="2"/>
      <c r="F84" s="115">
        <f t="shared" ref="F84:F87" si="5">(F$70*($C84)^3)+(F$71*($C84)^2)+(F$72*($C84)^1)+(F$73)</f>
        <v>252.13714285714292</v>
      </c>
      <c r="H84" s="106">
        <v>20</v>
      </c>
      <c r="I84" s="393">
        <f>F84</f>
        <v>252.13714285714292</v>
      </c>
      <c r="J84" s="105">
        <f t="shared" si="3"/>
        <v>252.2</v>
      </c>
      <c r="K84" s="412">
        <f t="shared" si="4"/>
        <v>-6.2857142857069448E-2</v>
      </c>
    </row>
    <row r="85" spans="1:11" ht="15" customHeight="1" x14ac:dyDescent="0.2">
      <c r="B85" s="28" t="s">
        <v>297</v>
      </c>
      <c r="C85" s="106">
        <v>30</v>
      </c>
      <c r="D85" s="105">
        <f t="shared" si="1"/>
        <v>340.1</v>
      </c>
      <c r="E85" s="2"/>
      <c r="F85" s="115">
        <f t="shared" si="5"/>
        <v>340.1942857142858</v>
      </c>
      <c r="H85" s="106">
        <v>30</v>
      </c>
      <c r="I85" s="393">
        <f>F85</f>
        <v>340.1942857142858</v>
      </c>
      <c r="J85" s="105">
        <f t="shared" si="3"/>
        <v>340.1</v>
      </c>
      <c r="K85" s="412">
        <f t="shared" si="4"/>
        <v>9.4285714285774702E-2</v>
      </c>
    </row>
    <row r="86" spans="1:11" ht="15" customHeight="1" x14ac:dyDescent="0.2">
      <c r="C86" s="106">
        <v>40</v>
      </c>
      <c r="D86" s="105">
        <f t="shared" si="1"/>
        <v>420.4</v>
      </c>
      <c r="E86" s="2"/>
      <c r="F86" s="115">
        <f t="shared" si="5"/>
        <v>420.33714285714279</v>
      </c>
      <c r="H86" s="106">
        <v>40</v>
      </c>
      <c r="I86" s="393">
        <f>F86</f>
        <v>420.33714285714279</v>
      </c>
      <c r="J86" s="105">
        <f t="shared" si="3"/>
        <v>420.4</v>
      </c>
      <c r="K86" s="412">
        <f t="shared" si="4"/>
        <v>-6.2857142857183135E-2</v>
      </c>
    </row>
    <row r="87" spans="1:11" ht="15" customHeight="1" x14ac:dyDescent="0.2">
      <c r="C87" s="106">
        <v>50</v>
      </c>
      <c r="D87" s="110">
        <f t="shared" si="1"/>
        <v>498</v>
      </c>
      <c r="E87" s="2"/>
      <c r="F87" s="115">
        <f t="shared" si="5"/>
        <v>498.01571428571424</v>
      </c>
      <c r="H87" s="106">
        <v>50</v>
      </c>
      <c r="I87" s="394">
        <f>F87</f>
        <v>498.01571428571424</v>
      </c>
      <c r="J87" s="110">
        <f t="shared" si="3"/>
        <v>498</v>
      </c>
      <c r="K87" s="411">
        <f t="shared" si="4"/>
        <v>1.571428571423894E-2</v>
      </c>
    </row>
    <row r="88" spans="1:11" ht="15" customHeight="1" x14ac:dyDescent="0.2">
      <c r="I88" s="38"/>
    </row>
    <row r="89" spans="1:11" ht="15" customHeight="1" x14ac:dyDescent="0.2"/>
    <row r="90" spans="1:11" ht="15" customHeight="1" x14ac:dyDescent="0.2"/>
    <row r="91" spans="1:11" ht="15" customHeight="1" x14ac:dyDescent="0.2">
      <c r="I91" s="38"/>
    </row>
    <row r="92" spans="1:11" ht="15" customHeight="1" x14ac:dyDescent="0.2">
      <c r="A92" s="64" t="s">
        <v>75</v>
      </c>
      <c r="B92" s="64" t="s">
        <v>73</v>
      </c>
    </row>
    <row r="93" spans="1:11" ht="15" customHeight="1" x14ac:dyDescent="0.2">
      <c r="A93" s="64"/>
      <c r="B93" s="64"/>
    </row>
    <row r="94" spans="1:11" ht="15" customHeight="1" x14ac:dyDescent="0.2">
      <c r="A94" s="64"/>
      <c r="B94" s="64" t="s">
        <v>76</v>
      </c>
    </row>
    <row r="95" spans="1:11" ht="15" customHeight="1" x14ac:dyDescent="0.2">
      <c r="A95" s="64"/>
      <c r="B95" s="64"/>
      <c r="K95" s="90" t="s">
        <v>78</v>
      </c>
    </row>
    <row r="96" spans="1:11" ht="15" customHeight="1" x14ac:dyDescent="0.2">
      <c r="I96" s="38"/>
    </row>
    <row r="97" spans="2:18" ht="15" customHeight="1" thickBot="1" x14ac:dyDescent="0.25">
      <c r="I97" s="38"/>
      <c r="M97" t="s">
        <v>94</v>
      </c>
    </row>
    <row r="98" spans="2:18" ht="15" customHeight="1" x14ac:dyDescent="0.2">
      <c r="B98" s="116"/>
      <c r="C98" s="111"/>
      <c r="D98" s="111"/>
      <c r="E98" s="111"/>
      <c r="F98" s="134" t="s">
        <v>56</v>
      </c>
      <c r="G98" s="134" t="s">
        <v>56</v>
      </c>
      <c r="H98" s="112" t="s">
        <v>222</v>
      </c>
      <c r="J98" s="129" t="s">
        <v>28</v>
      </c>
      <c r="K98" s="147"/>
      <c r="M98" s="141"/>
      <c r="N98" s="139" t="s">
        <v>79</v>
      </c>
    </row>
    <row r="99" spans="2:18" ht="15" customHeight="1" x14ac:dyDescent="0.2">
      <c r="B99" s="116"/>
      <c r="C99" s="108"/>
      <c r="D99" s="108"/>
      <c r="E99" s="108" t="s">
        <v>32</v>
      </c>
      <c r="F99" s="135" t="s">
        <v>33</v>
      </c>
      <c r="G99" s="135" t="s">
        <v>35</v>
      </c>
      <c r="H99" s="112" t="s">
        <v>28</v>
      </c>
      <c r="J99" s="342" t="s">
        <v>31</v>
      </c>
      <c r="K99" s="148" t="s">
        <v>77</v>
      </c>
      <c r="M99" s="142" t="s">
        <v>52</v>
      </c>
      <c r="N99" s="140" t="s">
        <v>42</v>
      </c>
    </row>
    <row r="100" spans="2:18" ht="15" customHeight="1" thickBot="1" x14ac:dyDescent="0.25">
      <c r="B100" s="116" t="s">
        <v>21</v>
      </c>
      <c r="C100" s="111"/>
      <c r="D100" s="111"/>
      <c r="E100" s="111"/>
      <c r="F100" s="136" t="s">
        <v>72</v>
      </c>
      <c r="G100" s="136" t="s">
        <v>72</v>
      </c>
      <c r="H100" s="112"/>
      <c r="J100" s="344" t="s">
        <v>74</v>
      </c>
      <c r="K100" s="149" t="s">
        <v>55</v>
      </c>
      <c r="M100" s="142" t="s">
        <v>36</v>
      </c>
      <c r="N100" s="140"/>
      <c r="O100" s="265" t="s">
        <v>128</v>
      </c>
      <c r="P100" s="38" t="s">
        <v>136</v>
      </c>
      <c r="Q100" s="214" t="s">
        <v>137</v>
      </c>
    </row>
    <row r="101" spans="2:18" ht="15" customHeight="1" x14ac:dyDescent="0.2">
      <c r="B101" s="106">
        <v>1</v>
      </c>
      <c r="C101" s="119"/>
      <c r="D101" s="119"/>
      <c r="E101" s="119">
        <f>F101+G101</f>
        <v>22.876072215074458</v>
      </c>
      <c r="F101" s="119">
        <f>I78</f>
        <v>22.561072215074457</v>
      </c>
      <c r="G101" s="118">
        <v>0.315</v>
      </c>
      <c r="H101" s="152">
        <f>G101/E101</f>
        <v>1.3769846372159424E-2</v>
      </c>
      <c r="J101" s="137">
        <f t="shared" ref="J101:J110" si="6">E30/100</f>
        <v>1.375E-2</v>
      </c>
      <c r="K101" s="150">
        <f t="shared" ref="K101:K110" si="7">J101-H101</f>
        <v>-1.9846372159423517E-5</v>
      </c>
      <c r="M101" s="137">
        <f t="shared" ref="M101:M110" si="8">E101/F101</f>
        <v>1.0139621023769221</v>
      </c>
      <c r="N101" s="143">
        <f t="shared" ref="N101:N110" si="9">F101*M101</f>
        <v>22.876072215074458</v>
      </c>
      <c r="O101" s="287">
        <f>N101-E101</f>
        <v>0</v>
      </c>
      <c r="P101" s="288">
        <f>J101/H101</f>
        <v>0.99855870780086919</v>
      </c>
      <c r="Q101" s="289">
        <f>P101*G101</f>
        <v>0.31454599295727381</v>
      </c>
      <c r="R101" s="267" t="s">
        <v>140</v>
      </c>
    </row>
    <row r="102" spans="2:18" ht="15" customHeight="1" x14ac:dyDescent="0.2">
      <c r="B102" s="106">
        <v>2</v>
      </c>
      <c r="C102" s="120"/>
      <c r="D102" s="120"/>
      <c r="E102" s="120">
        <f t="shared" ref="E102:E110" si="10">F102+G102</f>
        <v>45.387816103748463</v>
      </c>
      <c r="F102" s="120">
        <f t="shared" ref="F102:F110" si="11">I79</f>
        <v>44.027816103748464</v>
      </c>
      <c r="G102" s="118">
        <v>1.36</v>
      </c>
      <c r="H102" s="153">
        <f t="shared" ref="H102:H110" si="12">G102/E102</f>
        <v>2.9963988505005007E-2</v>
      </c>
      <c r="J102" s="137">
        <f t="shared" si="6"/>
        <v>0.03</v>
      </c>
      <c r="K102" s="150">
        <f t="shared" si="7"/>
        <v>3.6011494994991899E-5</v>
      </c>
      <c r="M102" s="137">
        <f t="shared" si="8"/>
        <v>1.0308895630161454</v>
      </c>
      <c r="N102" s="144">
        <f t="shared" si="9"/>
        <v>45.387816103748463</v>
      </c>
      <c r="O102" s="287">
        <f t="shared" ref="O102:O110" si="13">N102-E102</f>
        <v>0</v>
      </c>
      <c r="P102" s="288">
        <f t="shared" ref="P102:P110" si="14">J102/H102</f>
        <v>1.0012018258179807</v>
      </c>
      <c r="Q102" s="290">
        <f t="shared" ref="Q102:Q110" si="15">P102*G102</f>
        <v>1.3616344831124538</v>
      </c>
      <c r="R102" s="267" t="s">
        <v>141</v>
      </c>
    </row>
    <row r="103" spans="2:18" ht="15" customHeight="1" x14ac:dyDescent="0.2">
      <c r="B103" s="106">
        <v>3</v>
      </c>
      <c r="C103" s="121"/>
      <c r="D103" s="121"/>
      <c r="E103" s="121">
        <f t="shared" si="10"/>
        <v>65.093501985144925</v>
      </c>
      <c r="F103" s="121">
        <f t="shared" si="11"/>
        <v>62.133501985144932</v>
      </c>
      <c r="G103" s="118">
        <v>2.96</v>
      </c>
      <c r="H103" s="154">
        <f t="shared" si="12"/>
        <v>4.547304891777839E-2</v>
      </c>
      <c r="J103" s="137">
        <f t="shared" si="6"/>
        <v>4.5499999999999999E-2</v>
      </c>
      <c r="K103" s="150">
        <f t="shared" si="7"/>
        <v>2.6951082221608746E-5</v>
      </c>
      <c r="M103" s="137">
        <f t="shared" si="8"/>
        <v>1.0476393556685035</v>
      </c>
      <c r="N103" s="145">
        <f t="shared" si="9"/>
        <v>65.093501985144925</v>
      </c>
      <c r="O103" s="287">
        <f t="shared" si="13"/>
        <v>0</v>
      </c>
      <c r="P103" s="288">
        <f t="shared" si="14"/>
        <v>1.0005926825419236</v>
      </c>
      <c r="Q103" s="288">
        <f t="shared" si="15"/>
        <v>2.9617543403240938</v>
      </c>
      <c r="R103" s="267" t="s">
        <v>143</v>
      </c>
    </row>
    <row r="104" spans="2:18" ht="15" customHeight="1" x14ac:dyDescent="0.2">
      <c r="B104" s="106">
        <v>4</v>
      </c>
      <c r="C104" s="121"/>
      <c r="D104" s="121"/>
      <c r="E104" s="121">
        <f t="shared" si="10"/>
        <v>82.58413099588762</v>
      </c>
      <c r="F104" s="121">
        <f t="shared" si="11"/>
        <v>77.544130995887613</v>
      </c>
      <c r="G104" s="118">
        <v>5.04</v>
      </c>
      <c r="H104" s="154">
        <f t="shared" si="12"/>
        <v>6.102867390166003E-2</v>
      </c>
      <c r="J104" s="137">
        <f t="shared" si="6"/>
        <v>6.1050000000000007E-2</v>
      </c>
      <c r="K104" s="150">
        <f t="shared" si="7"/>
        <v>2.1326098339977118E-5</v>
      </c>
      <c r="M104" s="137">
        <f t="shared" si="8"/>
        <v>1.0649952476773168</v>
      </c>
      <c r="N104" s="145">
        <f t="shared" si="9"/>
        <v>82.584130995887634</v>
      </c>
      <c r="O104" s="287">
        <f t="shared" si="13"/>
        <v>0</v>
      </c>
      <c r="P104" s="288">
        <f t="shared" si="14"/>
        <v>1.0003494439085199</v>
      </c>
      <c r="Q104" s="288">
        <f t="shared" si="15"/>
        <v>5.04176119729894</v>
      </c>
      <c r="R104" s="88" t="s">
        <v>142</v>
      </c>
    </row>
    <row r="105" spans="2:18" ht="15" customHeight="1" x14ac:dyDescent="0.2">
      <c r="B105" s="106">
        <v>5</v>
      </c>
      <c r="C105" s="120"/>
      <c r="D105" s="120"/>
      <c r="E105" s="120">
        <f t="shared" si="10"/>
        <v>98.245704272600278</v>
      </c>
      <c r="F105" s="120">
        <f t="shared" si="11"/>
        <v>90.925704272600271</v>
      </c>
      <c r="G105" s="118">
        <v>7.32</v>
      </c>
      <c r="H105" s="153">
        <f t="shared" si="12"/>
        <v>7.4507074423217023E-2</v>
      </c>
      <c r="J105" s="137">
        <f t="shared" si="6"/>
        <v>7.4499999999999997E-2</v>
      </c>
      <c r="K105" s="150">
        <f t="shared" si="7"/>
        <v>-7.0744232170266708E-6</v>
      </c>
      <c r="M105" s="137">
        <f t="shared" si="8"/>
        <v>1.0805052879002646</v>
      </c>
      <c r="N105" s="144">
        <f t="shared" si="9"/>
        <v>98.245704272600278</v>
      </c>
      <c r="O105" s="287">
        <f t="shared" si="13"/>
        <v>0</v>
      </c>
      <c r="P105" s="288">
        <f t="shared" si="14"/>
        <v>0.999905050315399</v>
      </c>
      <c r="Q105" s="290">
        <f t="shared" si="15"/>
        <v>7.319304968308721</v>
      </c>
    </row>
    <row r="106" spans="2:18" ht="15" customHeight="1" x14ac:dyDescent="0.2">
      <c r="B106" s="106">
        <v>10</v>
      </c>
      <c r="C106" s="121"/>
      <c r="D106" s="121"/>
      <c r="E106" s="121">
        <f t="shared" si="10"/>
        <v>168.84174435662925</v>
      </c>
      <c r="F106" s="121">
        <f t="shared" si="11"/>
        <v>150.71174435662925</v>
      </c>
      <c r="G106" s="118">
        <v>18.13</v>
      </c>
      <c r="H106" s="154">
        <f t="shared" si="12"/>
        <v>0.10737865845371526</v>
      </c>
      <c r="J106" s="137">
        <f t="shared" si="6"/>
        <v>0.10754999999999999</v>
      </c>
      <c r="K106" s="150">
        <f t="shared" si="7"/>
        <v>1.7134154628473119E-4</v>
      </c>
      <c r="M106" s="137">
        <f t="shared" si="8"/>
        <v>1.1202958673021459</v>
      </c>
      <c r="N106" s="145">
        <f t="shared" si="9"/>
        <v>168.84174435662928</v>
      </c>
      <c r="O106" s="287">
        <f t="shared" si="13"/>
        <v>0</v>
      </c>
      <c r="P106" s="288">
        <f t="shared" si="14"/>
        <v>1.0015956759821001</v>
      </c>
      <c r="Q106" s="288">
        <f t="shared" si="15"/>
        <v>18.158929605555475</v>
      </c>
    </row>
    <row r="107" spans="2:18" ht="15" customHeight="1" x14ac:dyDescent="0.2">
      <c r="B107" s="106">
        <v>20</v>
      </c>
      <c r="C107" s="121"/>
      <c r="D107" s="121"/>
      <c r="E107" s="121">
        <f t="shared" si="10"/>
        <v>289.86514285714293</v>
      </c>
      <c r="F107" s="121">
        <f t="shared" si="11"/>
        <v>252.13714285714292</v>
      </c>
      <c r="G107" s="118">
        <v>37.728000000000002</v>
      </c>
      <c r="H107" s="154">
        <f t="shared" si="12"/>
        <v>0.13015707797123388</v>
      </c>
      <c r="J107" s="137">
        <f t="shared" si="6"/>
        <v>0.13</v>
      </c>
      <c r="K107" s="150">
        <f t="shared" si="7"/>
        <v>-1.5707797123387657E-4</v>
      </c>
      <c r="M107" s="137">
        <f t="shared" si="8"/>
        <v>1.1496328528691868</v>
      </c>
      <c r="N107" s="145">
        <f t="shared" si="9"/>
        <v>289.86514285714293</v>
      </c>
      <c r="O107" s="287">
        <f t="shared" si="13"/>
        <v>0</v>
      </c>
      <c r="P107" s="288">
        <f t="shared" si="14"/>
        <v>0.99879316612141067</v>
      </c>
      <c r="Q107" s="288">
        <f t="shared" si="15"/>
        <v>37.682468571428586</v>
      </c>
    </row>
    <row r="108" spans="2:18" ht="15" customHeight="1" x14ac:dyDescent="0.2">
      <c r="B108" s="106">
        <v>30</v>
      </c>
      <c r="C108" s="121"/>
      <c r="D108" s="121"/>
      <c r="E108" s="121">
        <f>F108+G108</f>
        <v>391.06028571428578</v>
      </c>
      <c r="F108" s="121">
        <f t="shared" si="11"/>
        <v>340.1942857142858</v>
      </c>
      <c r="G108" s="118">
        <v>50.866</v>
      </c>
      <c r="H108" s="154">
        <f t="shared" si="12"/>
        <v>0.13007201666385379</v>
      </c>
      <c r="J108" s="137">
        <f t="shared" si="6"/>
        <v>0.13</v>
      </c>
      <c r="K108" s="150">
        <f t="shared" si="7"/>
        <v>-7.2016663853785579E-5</v>
      </c>
      <c r="M108" s="137">
        <f t="shared" si="8"/>
        <v>1.1495204421003125</v>
      </c>
      <c r="N108" s="145">
        <f t="shared" si="9"/>
        <v>391.06028571428584</v>
      </c>
      <c r="O108" s="287">
        <f t="shared" si="13"/>
        <v>0</v>
      </c>
      <c r="P108" s="288">
        <f t="shared" si="14"/>
        <v>0.99944633238031588</v>
      </c>
      <c r="Q108" s="288">
        <f t="shared" si="15"/>
        <v>50.837837142857147</v>
      </c>
    </row>
    <row r="109" spans="2:18" ht="15" customHeight="1" x14ac:dyDescent="0.2">
      <c r="B109" s="106">
        <v>40</v>
      </c>
      <c r="C109" s="121"/>
      <c r="D109" s="121"/>
      <c r="E109" s="121">
        <f t="shared" si="10"/>
        <v>483.09514285714278</v>
      </c>
      <c r="F109" s="121">
        <f t="shared" si="11"/>
        <v>420.33714285714279</v>
      </c>
      <c r="G109" s="118">
        <v>62.758000000000003</v>
      </c>
      <c r="H109" s="154">
        <f t="shared" si="12"/>
        <v>0.12990815769505329</v>
      </c>
      <c r="J109" s="137">
        <f t="shared" si="6"/>
        <v>0.13</v>
      </c>
      <c r="K109" s="150">
        <f t="shared" si="7"/>
        <v>9.1842304946715414E-5</v>
      </c>
      <c r="M109" s="137">
        <f t="shared" si="8"/>
        <v>1.1493039600864612</v>
      </c>
      <c r="N109" s="145">
        <f t="shared" si="9"/>
        <v>483.09514285714278</v>
      </c>
      <c r="O109" s="287">
        <f t="shared" si="13"/>
        <v>0</v>
      </c>
      <c r="P109" s="288">
        <f t="shared" si="14"/>
        <v>1.0007069787346403</v>
      </c>
      <c r="Q109" s="288">
        <f t="shared" si="15"/>
        <v>62.802368571428559</v>
      </c>
    </row>
    <row r="110" spans="2:18" ht="15" customHeight="1" thickBot="1" x14ac:dyDescent="0.25">
      <c r="B110" s="106">
        <v>50</v>
      </c>
      <c r="C110" s="120"/>
      <c r="D110" s="120"/>
      <c r="E110" s="120">
        <f t="shared" si="10"/>
        <v>572.4067142857142</v>
      </c>
      <c r="F110" s="120">
        <f t="shared" si="11"/>
        <v>498.01571428571424</v>
      </c>
      <c r="G110" s="118">
        <v>74.391000000000005</v>
      </c>
      <c r="H110" s="153">
        <f t="shared" si="12"/>
        <v>0.12996178790954585</v>
      </c>
      <c r="J110" s="138">
        <f t="shared" si="6"/>
        <v>0.13</v>
      </c>
      <c r="K110" s="151">
        <f t="shared" si="7"/>
        <v>3.8212090454153858E-5</v>
      </c>
      <c r="M110" s="138">
        <f t="shared" si="8"/>
        <v>1.149374804581611</v>
      </c>
      <c r="N110" s="146">
        <f t="shared" si="9"/>
        <v>572.4067142857142</v>
      </c>
      <c r="O110" s="287">
        <f t="shared" si="13"/>
        <v>0</v>
      </c>
      <c r="P110" s="288">
        <f t="shared" si="14"/>
        <v>1.0002940255829718</v>
      </c>
      <c r="Q110" s="290">
        <f t="shared" si="15"/>
        <v>74.412872857142858</v>
      </c>
    </row>
    <row r="111" spans="2:18" ht="15" customHeight="1" x14ac:dyDescent="0.2">
      <c r="K111" s="38"/>
    </row>
    <row r="112" spans="2:18" ht="15" customHeight="1" x14ac:dyDescent="0.2">
      <c r="K112" s="38"/>
    </row>
    <row r="113" spans="1:17" ht="15" customHeight="1" x14ac:dyDescent="0.25">
      <c r="A113" s="90" t="s">
        <v>80</v>
      </c>
      <c r="B113" s="64" t="s">
        <v>81</v>
      </c>
      <c r="I113" s="38"/>
      <c r="K113" s="319"/>
    </row>
    <row r="114" spans="1:17" ht="15" customHeight="1" x14ac:dyDescent="0.2">
      <c r="I114" s="38"/>
    </row>
    <row r="115" spans="1:17" ht="15" customHeight="1" x14ac:dyDescent="0.2">
      <c r="I115" s="38"/>
    </row>
    <row r="116" spans="1:17" ht="15" customHeight="1" x14ac:dyDescent="0.2">
      <c r="I116" s="38"/>
    </row>
    <row r="117" spans="1:17" ht="15" customHeight="1" x14ac:dyDescent="0.2">
      <c r="I117" s="38"/>
    </row>
    <row r="118" spans="1:17" ht="15" customHeight="1" x14ac:dyDescent="0.2">
      <c r="I118" s="38"/>
    </row>
    <row r="119" spans="1:17" ht="15" customHeight="1" x14ac:dyDescent="0.2">
      <c r="I119" s="38"/>
    </row>
    <row r="120" spans="1:17" ht="15" customHeight="1" x14ac:dyDescent="0.2">
      <c r="A120" s="90"/>
      <c r="B120" s="64"/>
      <c r="I120" s="38"/>
    </row>
    <row r="121" spans="1:17" ht="15" customHeight="1" x14ac:dyDescent="0.2">
      <c r="I121" s="38"/>
    </row>
    <row r="122" spans="1:17" ht="15" customHeight="1" x14ac:dyDescent="0.2">
      <c r="I122" s="38"/>
      <c r="P122" s="308" t="s">
        <v>154</v>
      </c>
    </row>
    <row r="123" spans="1:17" ht="15" customHeight="1" x14ac:dyDescent="0.2">
      <c r="I123" s="38"/>
      <c r="M123" s="307" t="s">
        <v>152</v>
      </c>
    </row>
    <row r="124" spans="1:17" ht="15" customHeight="1" x14ac:dyDescent="0.2">
      <c r="D124" s="38" t="s">
        <v>111</v>
      </c>
      <c r="I124" s="38"/>
    </row>
    <row r="125" spans="1:17" ht="15" customHeight="1" x14ac:dyDescent="0.2">
      <c r="F125" s="38"/>
      <c r="G125" s="38"/>
      <c r="H125" s="38"/>
      <c r="I125" s="38"/>
      <c r="J125" s="359" t="s">
        <v>269</v>
      </c>
      <c r="K125" s="214"/>
      <c r="L125" s="214"/>
      <c r="O125" s="38"/>
      <c r="P125" s="38"/>
      <c r="Q125" s="38"/>
    </row>
    <row r="126" spans="1:17" ht="15" customHeight="1" x14ac:dyDescent="0.2">
      <c r="B126" s="116"/>
      <c r="C126" s="91" t="s">
        <v>56</v>
      </c>
      <c r="D126" s="91" t="s">
        <v>56</v>
      </c>
      <c r="E126" s="205" t="s">
        <v>56</v>
      </c>
      <c r="F126" s="199" t="s">
        <v>56</v>
      </c>
      <c r="G126" s="199" t="s">
        <v>56</v>
      </c>
      <c r="H126" s="207"/>
      <c r="I126" s="117" t="s">
        <v>34</v>
      </c>
      <c r="J126" s="117" t="s">
        <v>22</v>
      </c>
      <c r="K126" s="309" t="s">
        <v>104</v>
      </c>
      <c r="L126" s="117" t="s">
        <v>22</v>
      </c>
      <c r="O126" s="91" t="s">
        <v>34</v>
      </c>
      <c r="P126" s="91" t="s">
        <v>34</v>
      </c>
      <c r="Q126" s="91" t="s">
        <v>34</v>
      </c>
    </row>
    <row r="127" spans="1:17" ht="15" customHeight="1" x14ac:dyDescent="0.2">
      <c r="B127" s="116"/>
      <c r="C127" s="95" t="s">
        <v>40</v>
      </c>
      <c r="D127" s="84" t="s">
        <v>41</v>
      </c>
      <c r="E127" s="117" t="s">
        <v>32</v>
      </c>
      <c r="F127" s="104" t="s">
        <v>33</v>
      </c>
      <c r="G127" s="104" t="s">
        <v>35</v>
      </c>
      <c r="H127" s="253" t="s">
        <v>28</v>
      </c>
      <c r="I127" s="309" t="s">
        <v>155</v>
      </c>
      <c r="J127" s="309" t="s">
        <v>155</v>
      </c>
      <c r="K127" s="309" t="s">
        <v>162</v>
      </c>
      <c r="L127" s="117" t="s">
        <v>38</v>
      </c>
      <c r="O127" s="95" t="s">
        <v>155</v>
      </c>
      <c r="P127" s="95" t="s">
        <v>156</v>
      </c>
      <c r="Q127" s="95" t="s">
        <v>41</v>
      </c>
    </row>
    <row r="128" spans="1:17" ht="15" customHeight="1" x14ac:dyDescent="0.2">
      <c r="A128" s="38" t="s">
        <v>159</v>
      </c>
      <c r="B128" s="116" t="s">
        <v>21</v>
      </c>
      <c r="C128" s="113" t="s">
        <v>158</v>
      </c>
      <c r="D128" s="113" t="s">
        <v>158</v>
      </c>
      <c r="E128" s="113" t="s">
        <v>158</v>
      </c>
      <c r="F128" s="252" t="s">
        <v>53</v>
      </c>
      <c r="G128" s="252" t="s">
        <v>53</v>
      </c>
      <c r="H128" s="312" t="s">
        <v>158</v>
      </c>
      <c r="I128" s="113" t="s">
        <v>157</v>
      </c>
      <c r="J128" s="113" t="s">
        <v>161</v>
      </c>
      <c r="K128" s="113" t="s">
        <v>158</v>
      </c>
      <c r="L128" s="113" t="s">
        <v>161</v>
      </c>
      <c r="O128" s="113" t="s">
        <v>157</v>
      </c>
      <c r="P128" s="113" t="s">
        <v>157</v>
      </c>
      <c r="Q128" s="113" t="s">
        <v>157</v>
      </c>
    </row>
    <row r="129" spans="1:18" ht="15" customHeight="1" x14ac:dyDescent="0.2">
      <c r="B129" s="106">
        <v>1</v>
      </c>
      <c r="C129" s="119">
        <f>(D129-J129)</f>
        <v>35.876072215074458</v>
      </c>
      <c r="D129" s="119">
        <f>(F129+G129+J129+L129)</f>
        <v>112.87607221507446</v>
      </c>
      <c r="E129" s="119">
        <f>F129+G129</f>
        <v>22.876072215074458</v>
      </c>
      <c r="F129" s="119">
        <f t="shared" ref="F129:G138" si="16">F101</f>
        <v>22.561072215074457</v>
      </c>
      <c r="G129" s="175">
        <f t="shared" si="16"/>
        <v>0.315</v>
      </c>
      <c r="H129" s="155">
        <f>G129/E129</f>
        <v>1.3769846372159424E-2</v>
      </c>
      <c r="I129" s="119">
        <f>O129</f>
        <v>80.8</v>
      </c>
      <c r="J129" s="241">
        <v>77</v>
      </c>
      <c r="K129" s="316">
        <f>I129-J129</f>
        <v>3.7999999999999972</v>
      </c>
      <c r="L129" s="241">
        <v>13</v>
      </c>
      <c r="O129" s="85">
        <v>80.8</v>
      </c>
      <c r="P129" s="85">
        <v>12</v>
      </c>
      <c r="Q129" s="215">
        <v>115</v>
      </c>
      <c r="R129" s="184">
        <f t="shared" ref="R129:R138" si="17">Q129-D129</f>
        <v>2.1239277849255416</v>
      </c>
    </row>
    <row r="130" spans="1:18" ht="15" customHeight="1" x14ac:dyDescent="0.2">
      <c r="B130" s="106">
        <v>2</v>
      </c>
      <c r="C130" s="120">
        <f t="shared" ref="C130:C138" si="18">(D130-J130)</f>
        <v>58.387816103748463</v>
      </c>
      <c r="D130" s="120">
        <f t="shared" ref="D130:D138" si="19">(F130+G130+J130+L130)</f>
        <v>135.38781610374846</v>
      </c>
      <c r="E130" s="120">
        <f t="shared" ref="E130:E135" si="20">F130+G130</f>
        <v>45.387816103748463</v>
      </c>
      <c r="F130" s="120">
        <f t="shared" si="16"/>
        <v>44.027816103748464</v>
      </c>
      <c r="G130" s="176">
        <f t="shared" si="16"/>
        <v>1.36</v>
      </c>
      <c r="H130" s="156">
        <f t="shared" ref="H130:H138" si="21">G130/E130</f>
        <v>2.9963988505005007E-2</v>
      </c>
      <c r="I130" s="120">
        <f t="shared" ref="I130:I138" si="22">O130</f>
        <v>80.5</v>
      </c>
      <c r="J130" s="242">
        <v>77</v>
      </c>
      <c r="K130" s="317">
        <f t="shared" ref="K130:K138" si="23">I130-J130</f>
        <v>3.5</v>
      </c>
      <c r="L130" s="242">
        <v>13</v>
      </c>
      <c r="O130" s="87">
        <v>80.5</v>
      </c>
      <c r="P130" s="87">
        <v>11.3</v>
      </c>
      <c r="Q130" s="216">
        <v>137</v>
      </c>
      <c r="R130" s="184">
        <f t="shared" si="17"/>
        <v>1.6121838962515369</v>
      </c>
    </row>
    <row r="131" spans="1:18" ht="15" customHeight="1" x14ac:dyDescent="0.2">
      <c r="B131" s="106">
        <v>3</v>
      </c>
      <c r="C131" s="121">
        <f t="shared" si="18"/>
        <v>78.09350198514494</v>
      </c>
      <c r="D131" s="121">
        <f t="shared" si="19"/>
        <v>155.09350198514494</v>
      </c>
      <c r="E131" s="121">
        <f t="shared" si="20"/>
        <v>65.093501985144925</v>
      </c>
      <c r="F131" s="121">
        <f t="shared" si="16"/>
        <v>62.133501985144932</v>
      </c>
      <c r="G131" s="177">
        <f t="shared" si="16"/>
        <v>2.96</v>
      </c>
      <c r="H131" s="157">
        <f t="shared" si="21"/>
        <v>4.547304891777839E-2</v>
      </c>
      <c r="I131" s="121">
        <f t="shared" si="22"/>
        <v>80</v>
      </c>
      <c r="J131" s="243">
        <v>77</v>
      </c>
      <c r="K131" s="318">
        <f t="shared" si="23"/>
        <v>3</v>
      </c>
      <c r="L131" s="243">
        <v>13</v>
      </c>
      <c r="O131" s="86">
        <v>80</v>
      </c>
      <c r="P131" s="86">
        <v>12.5</v>
      </c>
      <c r="Q131" s="217">
        <v>156</v>
      </c>
      <c r="R131" s="184">
        <f t="shared" si="17"/>
        <v>0.90649801485506032</v>
      </c>
    </row>
    <row r="132" spans="1:18" ht="15" customHeight="1" x14ac:dyDescent="0.2">
      <c r="B132" s="106">
        <v>4</v>
      </c>
      <c r="C132" s="121">
        <f t="shared" si="18"/>
        <v>95.58413099588762</v>
      </c>
      <c r="D132" s="121">
        <f t="shared" si="19"/>
        <v>172.58413099588762</v>
      </c>
      <c r="E132" s="121">
        <f t="shared" si="20"/>
        <v>82.58413099588762</v>
      </c>
      <c r="F132" s="121">
        <f t="shared" si="16"/>
        <v>77.544130995887613</v>
      </c>
      <c r="G132" s="177">
        <f t="shared" si="16"/>
        <v>5.04</v>
      </c>
      <c r="H132" s="157">
        <f t="shared" si="21"/>
        <v>6.102867390166003E-2</v>
      </c>
      <c r="I132" s="121">
        <f t="shared" si="22"/>
        <v>79.7</v>
      </c>
      <c r="J132" s="243">
        <v>77</v>
      </c>
      <c r="K132" s="318">
        <f t="shared" si="23"/>
        <v>2.7000000000000028</v>
      </c>
      <c r="L132" s="243">
        <v>13</v>
      </c>
      <c r="O132" s="86">
        <v>79.7</v>
      </c>
      <c r="P132" s="86">
        <v>14.4</v>
      </c>
      <c r="Q132" s="217">
        <v>172</v>
      </c>
      <c r="R132" s="184">
        <f t="shared" si="17"/>
        <v>-0.58413099588761952</v>
      </c>
    </row>
    <row r="133" spans="1:18" ht="15" customHeight="1" x14ac:dyDescent="0.2">
      <c r="B133" s="106">
        <v>5</v>
      </c>
      <c r="C133" s="120">
        <f t="shared" si="18"/>
        <v>111.24570427260028</v>
      </c>
      <c r="D133" s="120">
        <f t="shared" si="19"/>
        <v>188.24570427260028</v>
      </c>
      <c r="E133" s="120">
        <f t="shared" si="20"/>
        <v>98.245704272600278</v>
      </c>
      <c r="F133" s="120">
        <f t="shared" si="16"/>
        <v>90.925704272600271</v>
      </c>
      <c r="G133" s="176">
        <f t="shared" si="16"/>
        <v>7.32</v>
      </c>
      <c r="H133" s="156">
        <f t="shared" si="21"/>
        <v>7.4507074423217023E-2</v>
      </c>
      <c r="I133" s="120">
        <f t="shared" si="22"/>
        <v>79.599999999999994</v>
      </c>
      <c r="J133" s="242">
        <v>77</v>
      </c>
      <c r="K133" s="317">
        <f t="shared" si="23"/>
        <v>2.5999999999999943</v>
      </c>
      <c r="L133" s="242">
        <v>13</v>
      </c>
      <c r="O133" s="87">
        <v>79.599999999999994</v>
      </c>
      <c r="P133" s="87">
        <v>12.3</v>
      </c>
      <c r="Q133" s="216">
        <v>187</v>
      </c>
      <c r="R133" s="184">
        <f t="shared" si="17"/>
        <v>-1.2457042726002783</v>
      </c>
    </row>
    <row r="134" spans="1:18" ht="15" customHeight="1" x14ac:dyDescent="0.2">
      <c r="B134" s="106">
        <v>10</v>
      </c>
      <c r="C134" s="121">
        <f t="shared" si="18"/>
        <v>181.84174435662925</v>
      </c>
      <c r="D134" s="121">
        <f t="shared" si="19"/>
        <v>258.84174435662925</v>
      </c>
      <c r="E134" s="121">
        <f t="shared" si="20"/>
        <v>168.84174435662925</v>
      </c>
      <c r="F134" s="121">
        <f t="shared" si="16"/>
        <v>150.71174435662925</v>
      </c>
      <c r="G134" s="177">
        <f t="shared" si="16"/>
        <v>18.13</v>
      </c>
      <c r="H134" s="157">
        <f t="shared" si="21"/>
        <v>0.10737865845371526</v>
      </c>
      <c r="I134" s="121">
        <f t="shared" si="22"/>
        <v>79.7</v>
      </c>
      <c r="J134" s="243">
        <v>77</v>
      </c>
      <c r="K134" s="318">
        <f t="shared" si="23"/>
        <v>2.7000000000000028</v>
      </c>
      <c r="L134" s="243">
        <v>13</v>
      </c>
      <c r="O134" s="86">
        <v>79.7</v>
      </c>
      <c r="P134" s="86">
        <v>11.6</v>
      </c>
      <c r="Q134" s="217">
        <v>257</v>
      </c>
      <c r="R134" s="184">
        <f t="shared" si="17"/>
        <v>-1.8417443566292491</v>
      </c>
    </row>
    <row r="135" spans="1:18" ht="15" customHeight="1" x14ac:dyDescent="0.2">
      <c r="B135" s="106">
        <v>20</v>
      </c>
      <c r="C135" s="121">
        <f t="shared" si="18"/>
        <v>302.86514285714293</v>
      </c>
      <c r="D135" s="121">
        <f t="shared" si="19"/>
        <v>379.86514285714293</v>
      </c>
      <c r="E135" s="121">
        <f t="shared" si="20"/>
        <v>289.86514285714293</v>
      </c>
      <c r="F135" s="121">
        <f t="shared" si="16"/>
        <v>252.13714285714292</v>
      </c>
      <c r="G135" s="177">
        <f t="shared" si="16"/>
        <v>37.728000000000002</v>
      </c>
      <c r="H135" s="157">
        <f t="shared" si="21"/>
        <v>0.13015707797123388</v>
      </c>
      <c r="I135" s="121">
        <f t="shared" si="22"/>
        <v>79.599999999999994</v>
      </c>
      <c r="J135" s="243">
        <v>77</v>
      </c>
      <c r="K135" s="318">
        <f t="shared" si="23"/>
        <v>2.5999999999999943</v>
      </c>
      <c r="L135" s="243">
        <v>13</v>
      </c>
      <c r="O135" s="86">
        <v>79.599999999999994</v>
      </c>
      <c r="P135" s="86">
        <v>11.3</v>
      </c>
      <c r="Q135" s="217">
        <v>385</v>
      </c>
      <c r="R135" s="184">
        <f t="shared" si="17"/>
        <v>5.1348571428570722</v>
      </c>
    </row>
    <row r="136" spans="1:18" ht="15" customHeight="1" x14ac:dyDescent="0.2">
      <c r="B136" s="106">
        <v>30</v>
      </c>
      <c r="C136" s="121">
        <f t="shared" si="18"/>
        <v>404.06028571428578</v>
      </c>
      <c r="D136" s="121">
        <f t="shared" si="19"/>
        <v>481.06028571428578</v>
      </c>
      <c r="E136" s="121">
        <f>F136+G136</f>
        <v>391.06028571428578</v>
      </c>
      <c r="F136" s="121">
        <f t="shared" si="16"/>
        <v>340.1942857142858</v>
      </c>
      <c r="G136" s="177">
        <f t="shared" si="16"/>
        <v>50.866</v>
      </c>
      <c r="H136" s="157">
        <f t="shared" si="21"/>
        <v>0.13007201666385379</v>
      </c>
      <c r="I136" s="121">
        <f t="shared" si="22"/>
        <v>80</v>
      </c>
      <c r="J136" s="243">
        <v>77</v>
      </c>
      <c r="K136" s="318">
        <f t="shared" si="23"/>
        <v>3</v>
      </c>
      <c r="L136" s="243">
        <v>13</v>
      </c>
      <c r="O136" s="86">
        <v>80</v>
      </c>
      <c r="P136" s="86">
        <v>13.5</v>
      </c>
      <c r="Q136" s="217">
        <v>491</v>
      </c>
      <c r="R136" s="184">
        <f t="shared" si="17"/>
        <v>9.9397142857142171</v>
      </c>
    </row>
    <row r="137" spans="1:18" ht="15" customHeight="1" x14ac:dyDescent="0.2">
      <c r="B137" s="106">
        <v>40</v>
      </c>
      <c r="C137" s="121">
        <f t="shared" si="18"/>
        <v>496.09514285714272</v>
      </c>
      <c r="D137" s="121">
        <f t="shared" si="19"/>
        <v>574.09514285714272</v>
      </c>
      <c r="E137" s="121">
        <f t="shared" ref="E137:E138" si="24">F137+G137</f>
        <v>483.09514285714278</v>
      </c>
      <c r="F137" s="121">
        <f t="shared" si="16"/>
        <v>420.33714285714279</v>
      </c>
      <c r="G137" s="177">
        <f t="shared" si="16"/>
        <v>62.758000000000003</v>
      </c>
      <c r="H137" s="157">
        <f t="shared" si="21"/>
        <v>0.12990815769505329</v>
      </c>
      <c r="I137" s="121">
        <f t="shared" si="22"/>
        <v>81</v>
      </c>
      <c r="J137" s="243">
        <v>78</v>
      </c>
      <c r="K137" s="318">
        <f t="shared" si="23"/>
        <v>3</v>
      </c>
      <c r="L137" s="243">
        <v>13</v>
      </c>
      <c r="O137" s="86">
        <v>81</v>
      </c>
      <c r="P137" s="86">
        <v>15</v>
      </c>
      <c r="Q137" s="217">
        <v>586</v>
      </c>
      <c r="R137" s="184">
        <f t="shared" si="17"/>
        <v>11.904857142857281</v>
      </c>
    </row>
    <row r="138" spans="1:18" ht="15" customHeight="1" x14ac:dyDescent="0.2">
      <c r="B138" s="106">
        <v>50</v>
      </c>
      <c r="C138" s="120">
        <f t="shared" si="18"/>
        <v>585.4067142857142</v>
      </c>
      <c r="D138" s="120">
        <f t="shared" si="19"/>
        <v>664.4067142857142</v>
      </c>
      <c r="E138" s="120">
        <f t="shared" si="24"/>
        <v>572.4067142857142</v>
      </c>
      <c r="F138" s="120">
        <f t="shared" si="16"/>
        <v>498.01571428571424</v>
      </c>
      <c r="G138" s="176">
        <f t="shared" si="16"/>
        <v>74.391000000000005</v>
      </c>
      <c r="H138" s="156">
        <f t="shared" si="21"/>
        <v>0.12996178790954585</v>
      </c>
      <c r="I138" s="120">
        <f t="shared" si="22"/>
        <v>82.7</v>
      </c>
      <c r="J138" s="242">
        <v>79</v>
      </c>
      <c r="K138" s="317">
        <f t="shared" si="23"/>
        <v>3.7000000000000028</v>
      </c>
      <c r="L138" s="242">
        <v>13</v>
      </c>
      <c r="O138" s="87">
        <v>82.7</v>
      </c>
      <c r="P138" s="87">
        <v>14.9</v>
      </c>
      <c r="Q138" s="216">
        <v>677</v>
      </c>
      <c r="R138" s="184">
        <f t="shared" si="17"/>
        <v>12.593285714285798</v>
      </c>
    </row>
    <row r="139" spans="1:18" ht="15" customHeight="1" x14ac:dyDescent="0.2">
      <c r="I139" s="38"/>
    </row>
    <row r="140" spans="1:18" ht="15" customHeight="1" x14ac:dyDescent="0.2">
      <c r="I140" s="38"/>
    </row>
    <row r="141" spans="1:18" x14ac:dyDescent="0.2">
      <c r="A141" s="90" t="s">
        <v>82</v>
      </c>
      <c r="B141" s="64" t="s">
        <v>83</v>
      </c>
    </row>
    <row r="142" spans="1:18" ht="15" customHeight="1" x14ac:dyDescent="0.2">
      <c r="I142" s="38"/>
    </row>
    <row r="143" spans="1:18" ht="15" customHeight="1" x14ac:dyDescent="0.2">
      <c r="B143" s="90" t="s">
        <v>91</v>
      </c>
      <c r="C143" s="40"/>
      <c r="I143" s="38"/>
    </row>
    <row r="144" spans="1:18" ht="15" customHeight="1" x14ac:dyDescent="0.2">
      <c r="B144" s="64" t="s">
        <v>92</v>
      </c>
      <c r="C144" s="40"/>
      <c r="D144" s="40"/>
      <c r="E144" s="40"/>
      <c r="F144" s="40"/>
      <c r="G144" s="40"/>
      <c r="H144" s="40"/>
      <c r="I144" s="40"/>
      <c r="J144" s="40"/>
      <c r="K144" s="40"/>
      <c r="L144" s="40"/>
    </row>
    <row r="145" spans="2:16" ht="15" customHeight="1" x14ac:dyDescent="0.2">
      <c r="B145" s="90" t="s">
        <v>93</v>
      </c>
      <c r="C145" s="40"/>
      <c r="D145" s="40"/>
      <c r="E145" s="40"/>
      <c r="F145" s="306" t="s">
        <v>153</v>
      </c>
      <c r="G145" s="40"/>
      <c r="H145" s="40"/>
      <c r="I145" s="28" t="s">
        <v>24</v>
      </c>
      <c r="J145" s="40"/>
      <c r="K145" s="40"/>
    </row>
    <row r="146" spans="2:16" ht="15" customHeight="1" x14ac:dyDescent="0.2">
      <c r="D146" s="56"/>
      <c r="H146" s="31" t="s">
        <v>11</v>
      </c>
      <c r="I146" s="32"/>
      <c r="J146" s="32"/>
      <c r="K146" s="33"/>
      <c r="L146" s="31" t="s">
        <v>16</v>
      </c>
      <c r="M146" s="32"/>
      <c r="N146" s="33"/>
      <c r="O146" s="84"/>
      <c r="P146" s="91" t="s">
        <v>56</v>
      </c>
    </row>
    <row r="147" spans="2:16" ht="15" customHeight="1" x14ac:dyDescent="0.2">
      <c r="C147" s="41"/>
      <c r="D147" s="57"/>
      <c r="F147" s="304" t="s">
        <v>84</v>
      </c>
      <c r="G147" s="301" t="s">
        <v>119</v>
      </c>
      <c r="H147" s="18" t="s">
        <v>12</v>
      </c>
      <c r="I147" s="159" t="s">
        <v>27</v>
      </c>
      <c r="J147" s="9"/>
      <c r="K147" s="10"/>
      <c r="L147" s="18" t="s">
        <v>17</v>
      </c>
      <c r="M147" s="19" t="s">
        <v>114</v>
      </c>
      <c r="N147" s="25"/>
      <c r="O147" s="84"/>
      <c r="P147" s="95" t="s">
        <v>40</v>
      </c>
    </row>
    <row r="148" spans="2:16" ht="15" customHeight="1" x14ac:dyDescent="0.2">
      <c r="B148" s="256" t="s">
        <v>5</v>
      </c>
      <c r="C148" s="257"/>
      <c r="D148" s="258"/>
      <c r="E148" s="303" t="s">
        <v>21</v>
      </c>
      <c r="F148" s="305" t="s">
        <v>23</v>
      </c>
      <c r="G148" s="302" t="s">
        <v>120</v>
      </c>
      <c r="H148" s="20" t="s">
        <v>13</v>
      </c>
      <c r="I148" s="21" t="s">
        <v>14</v>
      </c>
      <c r="J148" s="1"/>
      <c r="K148" s="22"/>
      <c r="L148" s="20" t="s">
        <v>18</v>
      </c>
      <c r="M148" s="21" t="s">
        <v>19</v>
      </c>
      <c r="N148" s="13"/>
      <c r="O148" s="84" t="s">
        <v>21</v>
      </c>
      <c r="P148" s="113" t="s">
        <v>54</v>
      </c>
    </row>
    <row r="149" spans="2:16" ht="15" customHeight="1" x14ac:dyDescent="0.2">
      <c r="B149" s="11" t="s">
        <v>6</v>
      </c>
      <c r="C149" s="12" t="s">
        <v>9</v>
      </c>
      <c r="D149" s="82">
        <v>2.46</v>
      </c>
      <c r="E149" s="30">
        <v>1</v>
      </c>
      <c r="F149" s="122">
        <v>0.92880188574588163</v>
      </c>
      <c r="G149" s="122">
        <v>1.0880000000000001</v>
      </c>
      <c r="H149" s="34">
        <f>(D150*2.20462*25.4*12)</f>
        <v>3359.8408799999997</v>
      </c>
      <c r="I149" s="5">
        <f t="shared" ref="I149:I158" si="25">F149*D$149*SQRT(4*D$151*H$149/32.2)/12</f>
        <v>35.863100000000003</v>
      </c>
      <c r="J149" s="1"/>
      <c r="K149" s="22"/>
      <c r="L149" s="96">
        <v>1</v>
      </c>
      <c r="M149" s="92">
        <f>L149*I149</f>
        <v>35.863100000000003</v>
      </c>
      <c r="N149" s="13"/>
      <c r="O149" s="84">
        <v>1</v>
      </c>
      <c r="P149" s="92">
        <f>C129</f>
        <v>35.876072215074458</v>
      </c>
    </row>
    <row r="150" spans="2:16" ht="15" customHeight="1" x14ac:dyDescent="0.2">
      <c r="B150" s="11" t="s">
        <v>7</v>
      </c>
      <c r="C150" s="12" t="s">
        <v>10</v>
      </c>
      <c r="D150" s="82">
        <v>5</v>
      </c>
      <c r="E150" s="30">
        <v>2</v>
      </c>
      <c r="F150" s="123">
        <v>0.75675400791901359</v>
      </c>
      <c r="G150" s="123">
        <v>0.82899999999999996</v>
      </c>
      <c r="H150" s="35"/>
      <c r="I150" s="5">
        <f t="shared" si="25"/>
        <v>29.219950000000001</v>
      </c>
      <c r="J150" s="1"/>
      <c r="K150" s="22"/>
      <c r="L150" s="97">
        <v>2</v>
      </c>
      <c r="M150" s="93">
        <f t="shared" ref="M150:M158" si="26">L150*I150</f>
        <v>58.439900000000002</v>
      </c>
      <c r="N150" s="13"/>
      <c r="O150" s="84">
        <v>2</v>
      </c>
      <c r="P150" s="93">
        <f t="shared" ref="P150:P158" si="27">C130</f>
        <v>58.387816103748463</v>
      </c>
    </row>
    <row r="151" spans="2:16" ht="15" customHeight="1" x14ac:dyDescent="0.2">
      <c r="B151" s="14" t="s">
        <v>8</v>
      </c>
      <c r="C151" s="15" t="s">
        <v>15</v>
      </c>
      <c r="D151" s="83">
        <v>85</v>
      </c>
      <c r="E151" s="30">
        <v>3</v>
      </c>
      <c r="F151" s="122">
        <v>0.6744</v>
      </c>
      <c r="G151" s="122">
        <v>0.71699999999999997</v>
      </c>
      <c r="H151" s="35"/>
      <c r="I151" s="5">
        <f t="shared" si="25"/>
        <v>26.040079172080045</v>
      </c>
      <c r="J151" s="1"/>
      <c r="K151" s="22"/>
      <c r="L151" s="98">
        <v>3</v>
      </c>
      <c r="M151" s="94">
        <f t="shared" si="26"/>
        <v>78.120237516240138</v>
      </c>
      <c r="N151" s="13"/>
      <c r="O151" s="84">
        <v>3</v>
      </c>
      <c r="P151" s="94">
        <f t="shared" si="27"/>
        <v>78.09350198514494</v>
      </c>
    </row>
    <row r="152" spans="2:16" ht="15" customHeight="1" x14ac:dyDescent="0.2">
      <c r="E152" s="30">
        <v>4</v>
      </c>
      <c r="F152" s="122">
        <v>0.61899999999999999</v>
      </c>
      <c r="G152" s="122">
        <v>0.64100000000000001</v>
      </c>
      <c r="H152" s="35"/>
      <c r="I152" s="5">
        <f t="shared" si="25"/>
        <v>23.900962348039069</v>
      </c>
      <c r="J152" s="1"/>
      <c r="K152" s="22"/>
      <c r="L152" s="98">
        <v>4</v>
      </c>
      <c r="M152" s="94">
        <f t="shared" si="26"/>
        <v>95.603849392156278</v>
      </c>
      <c r="N152" s="13"/>
      <c r="O152" s="84">
        <v>4</v>
      </c>
      <c r="P152" s="94">
        <f t="shared" si="27"/>
        <v>95.58413099588762</v>
      </c>
    </row>
    <row r="153" spans="2:16" ht="15" customHeight="1" x14ac:dyDescent="0.2">
      <c r="B153" s="268" t="s">
        <v>132</v>
      </c>
      <c r="E153" s="30">
        <v>5</v>
      </c>
      <c r="F153" s="123">
        <v>0.57599999999999996</v>
      </c>
      <c r="G153" s="123">
        <v>0.59</v>
      </c>
      <c r="H153" s="35"/>
      <c r="I153" s="5">
        <f t="shared" si="25"/>
        <v>22.240637015299679</v>
      </c>
      <c r="J153" s="1"/>
      <c r="K153" s="22"/>
      <c r="L153" s="97">
        <v>5</v>
      </c>
      <c r="M153" s="93">
        <f t="shared" si="26"/>
        <v>111.2031850764984</v>
      </c>
      <c r="N153" s="13"/>
      <c r="O153" s="84">
        <v>5</v>
      </c>
      <c r="P153" s="93">
        <f t="shared" si="27"/>
        <v>111.24570427260028</v>
      </c>
    </row>
    <row r="154" spans="2:16" ht="15" customHeight="1" x14ac:dyDescent="0.2">
      <c r="B154" s="42" t="s">
        <v>131</v>
      </c>
      <c r="E154" s="30">
        <v>10</v>
      </c>
      <c r="F154" s="122">
        <v>0.47</v>
      </c>
      <c r="G154" s="122">
        <v>0.47699999999999998</v>
      </c>
      <c r="H154" s="35"/>
      <c r="I154" s="5">
        <f t="shared" si="25"/>
        <v>18.147742009011889</v>
      </c>
      <c r="J154" s="1"/>
      <c r="K154" s="22"/>
      <c r="L154" s="98">
        <v>10</v>
      </c>
      <c r="M154" s="94">
        <f t="shared" si="26"/>
        <v>181.4774200901189</v>
      </c>
      <c r="N154" s="13"/>
      <c r="O154" s="84">
        <v>10</v>
      </c>
      <c r="P154" s="94">
        <f t="shared" si="27"/>
        <v>181.84174435662925</v>
      </c>
    </row>
    <row r="155" spans="2:16" ht="15" customHeight="1" x14ac:dyDescent="0.2">
      <c r="E155" s="30">
        <v>20</v>
      </c>
      <c r="F155" s="122">
        <v>0.3926</v>
      </c>
      <c r="G155" s="122">
        <v>0.40400000000000003</v>
      </c>
      <c r="H155" s="35"/>
      <c r="I155" s="5">
        <f t="shared" si="25"/>
        <v>15.159156410080998</v>
      </c>
      <c r="J155" s="1"/>
      <c r="K155" s="22"/>
      <c r="L155" s="98">
        <v>20</v>
      </c>
      <c r="M155" s="94">
        <f t="shared" si="26"/>
        <v>303.18312820161998</v>
      </c>
      <c r="N155" s="13"/>
      <c r="O155" s="84">
        <v>20</v>
      </c>
      <c r="P155" s="94">
        <f t="shared" si="27"/>
        <v>302.86514285714293</v>
      </c>
    </row>
    <row r="156" spans="2:16" ht="15" customHeight="1" x14ac:dyDescent="0.2">
      <c r="E156" s="30">
        <v>30</v>
      </c>
      <c r="F156" s="122">
        <v>0.34889999999999999</v>
      </c>
      <c r="G156" s="122">
        <v>0.36099999999999999</v>
      </c>
      <c r="H156" s="35"/>
      <c r="I156" s="5">
        <f t="shared" si="25"/>
        <v>13.471802525413295</v>
      </c>
      <c r="J156" s="1"/>
      <c r="K156" s="22"/>
      <c r="L156" s="98">
        <v>30</v>
      </c>
      <c r="M156" s="94">
        <f>L156*I156</f>
        <v>404.15407576239886</v>
      </c>
      <c r="N156" s="13"/>
      <c r="O156" s="84">
        <v>30</v>
      </c>
      <c r="P156" s="94">
        <f t="shared" si="27"/>
        <v>404.06028571428578</v>
      </c>
    </row>
    <row r="157" spans="2:16" ht="15" customHeight="1" x14ac:dyDescent="0.2">
      <c r="E157" s="30">
        <v>40</v>
      </c>
      <c r="F157" s="122">
        <v>0.32095000000000001</v>
      </c>
      <c r="G157" s="122">
        <v>0.33200000000000002</v>
      </c>
      <c r="H157" s="35"/>
      <c r="I157" s="5">
        <f t="shared" si="25"/>
        <v>12.392591059132696</v>
      </c>
      <c r="J157" s="1"/>
      <c r="K157" s="22"/>
      <c r="L157" s="98">
        <v>40</v>
      </c>
      <c r="M157" s="94">
        <f t="shared" si="26"/>
        <v>495.70364236530787</v>
      </c>
      <c r="N157" s="13"/>
      <c r="O157" s="84">
        <v>40</v>
      </c>
      <c r="P157" s="126">
        <f t="shared" si="27"/>
        <v>496.09514285714272</v>
      </c>
    </row>
    <row r="158" spans="2:16" ht="15" customHeight="1" x14ac:dyDescent="0.2">
      <c r="E158" s="30">
        <v>50</v>
      </c>
      <c r="F158" s="123">
        <v>0.30314999999999998</v>
      </c>
      <c r="G158" s="123">
        <v>0.313</v>
      </c>
      <c r="H158" s="36"/>
      <c r="I158" s="23">
        <f t="shared" si="25"/>
        <v>11.70529359581267</v>
      </c>
      <c r="J158" s="24"/>
      <c r="K158" s="17"/>
      <c r="L158" s="99">
        <v>50</v>
      </c>
      <c r="M158" s="100">
        <f t="shared" si="26"/>
        <v>585.26467979063352</v>
      </c>
      <c r="N158" s="16"/>
      <c r="O158" s="107">
        <v>50</v>
      </c>
      <c r="P158" s="127">
        <f t="shared" si="27"/>
        <v>585.4067142857142</v>
      </c>
    </row>
    <row r="159" spans="2:16" ht="15" customHeight="1" x14ac:dyDescent="0.2">
      <c r="E159" s="2"/>
      <c r="F159" s="160"/>
      <c r="G159" s="160"/>
      <c r="H159" s="40"/>
      <c r="I159" s="161"/>
      <c r="J159" s="40"/>
      <c r="K159" s="40"/>
      <c r="L159" s="162"/>
      <c r="M159" s="162"/>
      <c r="N159" s="66"/>
      <c r="O159" s="163"/>
      <c r="P159" s="162"/>
    </row>
    <row r="160" spans="2:16" ht="15" customHeight="1" x14ac:dyDescent="0.2">
      <c r="E160" s="2"/>
      <c r="F160" s="160"/>
      <c r="G160" s="160"/>
      <c r="H160" s="40"/>
      <c r="I160" s="161"/>
      <c r="J160" s="40"/>
      <c r="K160" s="40"/>
      <c r="L160" s="162"/>
      <c r="M160" s="162"/>
      <c r="N160" s="66"/>
      <c r="O160" s="163"/>
      <c r="P160" s="162"/>
    </row>
    <row r="161" spans="1:19" ht="15" customHeight="1" x14ac:dyDescent="0.2">
      <c r="F161" s="41"/>
      <c r="G161" s="41"/>
      <c r="H161" s="41"/>
      <c r="I161" s="41"/>
      <c r="J161" s="41"/>
      <c r="K161" s="41"/>
      <c r="L161" s="41"/>
      <c r="M161" s="41"/>
      <c r="N161" s="41"/>
      <c r="O161" s="41"/>
      <c r="P161" s="41"/>
    </row>
    <row r="162" spans="1:19" ht="15" customHeight="1" x14ac:dyDescent="0.2">
      <c r="A162" s="90" t="s">
        <v>85</v>
      </c>
      <c r="B162" s="64" t="s">
        <v>86</v>
      </c>
    </row>
    <row r="163" spans="1:19" ht="15" customHeight="1" x14ac:dyDescent="0.2">
      <c r="B163" s="90" t="s">
        <v>87</v>
      </c>
    </row>
    <row r="164" spans="1:19" ht="15" customHeight="1" x14ac:dyDescent="0.2">
      <c r="B164" s="90"/>
    </row>
    <row r="165" spans="1:19" ht="15" customHeight="1" x14ac:dyDescent="0.2">
      <c r="B165" s="90"/>
    </row>
    <row r="166" spans="1:19" ht="15" customHeight="1" x14ac:dyDescent="0.2">
      <c r="B166" s="64"/>
      <c r="J166" s="64" t="s">
        <v>88</v>
      </c>
    </row>
    <row r="167" spans="1:19" ht="15" customHeight="1" thickBot="1" x14ac:dyDescent="0.25">
      <c r="B167" s="90"/>
      <c r="H167" t="s">
        <v>89</v>
      </c>
    </row>
    <row r="168" spans="1:19" ht="15" customHeight="1" x14ac:dyDescent="0.2">
      <c r="F168" s="117" t="s">
        <v>56</v>
      </c>
      <c r="L168" s="164" t="s">
        <v>90</v>
      </c>
      <c r="P168" s="141"/>
    </row>
    <row r="169" spans="1:19" ht="15" customHeight="1" x14ac:dyDescent="0.2">
      <c r="F169" s="117" t="s">
        <v>33</v>
      </c>
      <c r="H169" s="173" t="s">
        <v>33</v>
      </c>
      <c r="L169" s="65">
        <v>1</v>
      </c>
      <c r="M169" s="52" t="s">
        <v>12</v>
      </c>
      <c r="N169" s="124" t="s">
        <v>27</v>
      </c>
      <c r="O169" s="52" t="s">
        <v>33</v>
      </c>
      <c r="P169" s="142" t="s">
        <v>52</v>
      </c>
      <c r="S169" s="174" t="s">
        <v>97</v>
      </c>
    </row>
    <row r="170" spans="1:19" ht="15" customHeight="1" x14ac:dyDescent="0.2">
      <c r="B170" s="79">
        <v>2.46</v>
      </c>
      <c r="C170" s="78" t="s">
        <v>3</v>
      </c>
      <c r="D170" s="10"/>
      <c r="E170" s="3" t="s">
        <v>2</v>
      </c>
      <c r="F170" s="117" t="s">
        <v>72</v>
      </c>
      <c r="G170" s="29" t="s">
        <v>20</v>
      </c>
      <c r="H170" s="4" t="s">
        <v>25</v>
      </c>
      <c r="J170" s="38" t="s">
        <v>60</v>
      </c>
      <c r="K170" s="3" t="s">
        <v>2</v>
      </c>
      <c r="L170" s="4" t="s">
        <v>25</v>
      </c>
      <c r="M170" s="21" t="s">
        <v>13</v>
      </c>
      <c r="N170" s="125" t="s">
        <v>61</v>
      </c>
      <c r="O170" s="21" t="s">
        <v>19</v>
      </c>
      <c r="P170" s="142" t="s">
        <v>36</v>
      </c>
      <c r="Q170" s="165" t="s">
        <v>96</v>
      </c>
      <c r="R170" s="165" t="s">
        <v>59</v>
      </c>
      <c r="S170" s="172" t="s">
        <v>28</v>
      </c>
    </row>
    <row r="171" spans="1:19" ht="15" customHeight="1" x14ac:dyDescent="0.2">
      <c r="B171" s="80">
        <v>5</v>
      </c>
      <c r="C171" s="1" t="s">
        <v>0</v>
      </c>
      <c r="D171" s="22"/>
      <c r="E171" s="71">
        <v>1</v>
      </c>
      <c r="F171" s="55">
        <f>F129</f>
        <v>22.561072215074457</v>
      </c>
      <c r="G171" s="46">
        <f>F171/E171</f>
        <v>22.561072215074457</v>
      </c>
      <c r="H171" s="63">
        <f t="shared" ref="H171:H180" si="28">SQRT(12*32.2*G171^2/(4*$B$172*($B$171*56)*$B$170^2))</f>
        <v>0.58428496791973461</v>
      </c>
      <c r="J171" s="63">
        <v>0.5842849105539013</v>
      </c>
      <c r="K171" s="71">
        <v>1</v>
      </c>
      <c r="L171" s="63">
        <f>J171*$L$169</f>
        <v>0.5842849105539013</v>
      </c>
      <c r="M171" s="5">
        <f>(B171*2.20462*25.4*12)</f>
        <v>3359.8408799999997</v>
      </c>
      <c r="N171" s="74">
        <f t="shared" ref="N171:N180" si="29">L171*B$170*SQRT(4*B$172*M$171/32.2)/12</f>
        <v>22.560535779767644</v>
      </c>
      <c r="O171" s="74">
        <f>K171*N171</f>
        <v>22.560535779767644</v>
      </c>
      <c r="P171" s="137">
        <v>1.0139620851820168</v>
      </c>
      <c r="Q171" s="60">
        <f>P171*O171</f>
        <v>22.875527902076698</v>
      </c>
      <c r="R171" s="60">
        <f>Q171-O171</f>
        <v>0.31499212230905371</v>
      </c>
      <c r="S171" s="169">
        <f>R171/Q171</f>
        <v>1.3769829647536045E-2</v>
      </c>
    </row>
    <row r="172" spans="1:19" ht="15" customHeight="1" x14ac:dyDescent="0.2">
      <c r="B172" s="81">
        <v>85</v>
      </c>
      <c r="C172" s="77" t="s">
        <v>1</v>
      </c>
      <c r="D172" s="17"/>
      <c r="E172" s="70">
        <v>2</v>
      </c>
      <c r="F172" s="54">
        <f t="shared" ref="F172:F180" si="30">F130</f>
        <v>44.027816103748464</v>
      </c>
      <c r="G172" s="45">
        <f t="shared" ref="G172:G180" si="31">F172/E172</f>
        <v>22.013908051874232</v>
      </c>
      <c r="H172" s="62">
        <f t="shared" si="28"/>
        <v>0.57011455117293386</v>
      </c>
      <c r="J172" s="62">
        <v>0.57011447213572231</v>
      </c>
      <c r="K172" s="70">
        <v>2</v>
      </c>
      <c r="L172" s="62">
        <f t="shared" ref="L172:L180" si="32">J172*$L$169</f>
        <v>0.57011447213572231</v>
      </c>
      <c r="N172" s="73">
        <f t="shared" si="29"/>
        <v>22.013383736006571</v>
      </c>
      <c r="O172" s="73">
        <f t="shared" ref="O172:O180" si="33">K172*N172</f>
        <v>44.026767472013141</v>
      </c>
      <c r="P172" s="137">
        <v>1.0308895041553197</v>
      </c>
      <c r="Q172" s="59">
        <f t="shared" ref="Q172:Q180" si="34">P172*O172</f>
        <v>45.386732488785185</v>
      </c>
      <c r="R172" s="59">
        <f t="shared" ref="R172:R180" si="35">Q172-O172</f>
        <v>1.3599650167720441</v>
      </c>
      <c r="S172" s="170">
        <f t="shared" ref="S172:S180" si="36">R172/Q172</f>
        <v>2.9963933118738698E-2</v>
      </c>
    </row>
    <row r="173" spans="1:19" ht="15" customHeight="1" x14ac:dyDescent="0.2">
      <c r="E173" s="69">
        <v>3</v>
      </c>
      <c r="F173" s="50">
        <f t="shared" si="30"/>
        <v>62.133501985144932</v>
      </c>
      <c r="G173" s="44">
        <f t="shared" si="31"/>
        <v>20.711167328381645</v>
      </c>
      <c r="H173" s="61">
        <f t="shared" si="28"/>
        <v>0.53637626894160395</v>
      </c>
      <c r="J173" s="61">
        <v>0.53637616547814038</v>
      </c>
      <c r="K173" s="69">
        <v>3</v>
      </c>
      <c r="L173" s="61">
        <f t="shared" si="32"/>
        <v>0.53637616547814038</v>
      </c>
      <c r="N173" s="72">
        <f t="shared" si="29"/>
        <v>20.710672916766729</v>
      </c>
      <c r="O173" s="72">
        <f>K173*N173</f>
        <v>62.13201875030019</v>
      </c>
      <c r="P173" s="137">
        <v>1.0476392038458999</v>
      </c>
      <c r="Q173" s="58">
        <f t="shared" si="34"/>
        <v>65.091938656903011</v>
      </c>
      <c r="R173" s="58">
        <f>Q173-O173</f>
        <v>2.9599199066028206</v>
      </c>
      <c r="S173" s="171">
        <f t="shared" si="36"/>
        <v>4.5472910588889345E-2</v>
      </c>
    </row>
    <row r="174" spans="1:19" ht="15" customHeight="1" x14ac:dyDescent="0.2">
      <c r="E174" s="69">
        <v>4</v>
      </c>
      <c r="F174" s="50">
        <f t="shared" si="30"/>
        <v>77.544130995887613</v>
      </c>
      <c r="G174" s="44">
        <f t="shared" si="31"/>
        <v>19.386032748971903</v>
      </c>
      <c r="H174" s="61">
        <f t="shared" si="28"/>
        <v>0.50205803229758394</v>
      </c>
      <c r="J174" s="61">
        <v>0.50205789636010045</v>
      </c>
      <c r="K174" s="69">
        <v>4</v>
      </c>
      <c r="L174" s="61">
        <f t="shared" si="32"/>
        <v>0.50205789636010045</v>
      </c>
      <c r="N174" s="72">
        <f t="shared" si="29"/>
        <v>19.385568461128369</v>
      </c>
      <c r="O174" s="72">
        <f t="shared" si="33"/>
        <v>77.542273844513474</v>
      </c>
      <c r="P174" s="137">
        <v>1.0649949383902146</v>
      </c>
      <c r="Q174" s="58">
        <f t="shared" si="34"/>
        <v>82.582129155674778</v>
      </c>
      <c r="R174" s="58">
        <f t="shared" si="35"/>
        <v>5.039855311161304</v>
      </c>
      <c r="S174" s="171">
        <f t="shared" si="36"/>
        <v>6.1028401213302712E-2</v>
      </c>
    </row>
    <row r="175" spans="1:19" ht="15" customHeight="1" x14ac:dyDescent="0.2">
      <c r="E175" s="70">
        <v>5</v>
      </c>
      <c r="F175" s="54">
        <f t="shared" si="30"/>
        <v>90.925704272600271</v>
      </c>
      <c r="G175" s="45">
        <f t="shared" si="31"/>
        <v>18.185140854520053</v>
      </c>
      <c r="H175" s="62">
        <f t="shared" si="28"/>
        <v>0.47095742345524155</v>
      </c>
      <c r="J175" s="62">
        <v>0.47095724593739163</v>
      </c>
      <c r="K175" s="70">
        <v>5</v>
      </c>
      <c r="L175" s="62">
        <f t="shared" si="32"/>
        <v>0.47095724593739163</v>
      </c>
      <c r="N175" s="73">
        <f t="shared" si="29"/>
        <v>18.184703396907548</v>
      </c>
      <c r="O175" s="73">
        <f t="shared" si="33"/>
        <v>90.923516984537741</v>
      </c>
      <c r="P175" s="137">
        <v>1.0805047604488471</v>
      </c>
      <c r="Q175" s="59">
        <f t="shared" si="34"/>
        <v>98.243292938544641</v>
      </c>
      <c r="R175" s="59">
        <f t="shared" si="35"/>
        <v>7.3197759540069001</v>
      </c>
      <c r="S175" s="170">
        <f t="shared" si="36"/>
        <v>7.4506622641259915E-2</v>
      </c>
    </row>
    <row r="176" spans="1:19" ht="15" customHeight="1" x14ac:dyDescent="0.2">
      <c r="E176" s="69">
        <v>10</v>
      </c>
      <c r="F176" s="50">
        <f t="shared" si="30"/>
        <v>150.71174435662925</v>
      </c>
      <c r="G176" s="44">
        <f t="shared" si="31"/>
        <v>15.071174435662925</v>
      </c>
      <c r="H176" s="61">
        <f t="shared" si="28"/>
        <v>0.39031215306204697</v>
      </c>
      <c r="J176" s="61">
        <v>0.38949809228635185</v>
      </c>
      <c r="K176" s="75">
        <v>10</v>
      </c>
      <c r="L176" s="61">
        <f t="shared" si="32"/>
        <v>0.38949809228635185</v>
      </c>
      <c r="M176" s="41"/>
      <c r="N176" s="76">
        <f t="shared" si="29"/>
        <v>15.039384876202165</v>
      </c>
      <c r="O176" s="76">
        <f t="shared" si="33"/>
        <v>150.39384876202166</v>
      </c>
      <c r="P176" s="137">
        <v>1.1205338726442957</v>
      </c>
      <c r="Q176" s="58">
        <f t="shared" si="34"/>
        <v>168.52140177518865</v>
      </c>
      <c r="R176" s="58">
        <f t="shared" si="35"/>
        <v>18.127553013166988</v>
      </c>
      <c r="S176" s="171">
        <f t="shared" si="36"/>
        <v>0.10756825437133233</v>
      </c>
    </row>
    <row r="177" spans="2:19" ht="15" customHeight="1" x14ac:dyDescent="0.2">
      <c r="E177" s="69">
        <v>20</v>
      </c>
      <c r="F177" s="50">
        <f t="shared" si="30"/>
        <v>252.13714285714292</v>
      </c>
      <c r="G177" s="44">
        <f t="shared" si="31"/>
        <v>12.606857142857146</v>
      </c>
      <c r="H177" s="61">
        <f t="shared" si="28"/>
        <v>0.32649144735068414</v>
      </c>
      <c r="J177" s="61">
        <v>0.32692045573621309</v>
      </c>
      <c r="K177" s="69">
        <v>20</v>
      </c>
      <c r="L177" s="61">
        <f t="shared" si="32"/>
        <v>0.32692045573621309</v>
      </c>
      <c r="N177" s="72">
        <f t="shared" si="29"/>
        <v>12.62312359184976</v>
      </c>
      <c r="O177" s="72">
        <f t="shared" si="33"/>
        <v>252.46247183699521</v>
      </c>
      <c r="P177" s="137">
        <v>1.1493795308493462</v>
      </c>
      <c r="Q177" s="58">
        <f t="shared" si="34"/>
        <v>290.1751974370718</v>
      </c>
      <c r="R177" s="58">
        <f t="shared" si="35"/>
        <v>37.712725600076595</v>
      </c>
      <c r="S177" s="171">
        <f t="shared" si="36"/>
        <v>0.12996536552113513</v>
      </c>
    </row>
    <row r="178" spans="2:19" ht="15" customHeight="1" x14ac:dyDescent="0.2">
      <c r="E178" s="69">
        <v>30</v>
      </c>
      <c r="F178" s="50">
        <f t="shared" si="30"/>
        <v>340.1942857142858</v>
      </c>
      <c r="G178" s="44">
        <f t="shared" si="31"/>
        <v>11.339809523809526</v>
      </c>
      <c r="H178" s="61">
        <f t="shared" si="28"/>
        <v>0.29367754247991462</v>
      </c>
      <c r="J178" s="61">
        <v>0.29375814052384225</v>
      </c>
      <c r="K178" s="69">
        <v>30</v>
      </c>
      <c r="L178" s="61">
        <f t="shared" si="32"/>
        <v>0.29375814052384225</v>
      </c>
      <c r="N178" s="72">
        <f t="shared" si="29"/>
        <v>11.342653079305853</v>
      </c>
      <c r="O178" s="72">
        <f t="shared" si="33"/>
        <v>340.2795923791756</v>
      </c>
      <c r="P178" s="137">
        <v>1.1494843245208235</v>
      </c>
      <c r="Q178" s="58">
        <f t="shared" si="34"/>
        <v>391.14605739419784</v>
      </c>
      <c r="R178" s="58">
        <f t="shared" si="35"/>
        <v>50.866465015022243</v>
      </c>
      <c r="S178" s="171">
        <f t="shared" si="36"/>
        <v>0.13004468293479157</v>
      </c>
    </row>
    <row r="179" spans="2:19" ht="15" customHeight="1" x14ac:dyDescent="0.2">
      <c r="E179" s="69">
        <v>40</v>
      </c>
      <c r="F179" s="50">
        <f t="shared" si="30"/>
        <v>420.33714285714279</v>
      </c>
      <c r="G179" s="44">
        <f t="shared" si="31"/>
        <v>10.508428571428571</v>
      </c>
      <c r="H179" s="61">
        <f t="shared" si="28"/>
        <v>0.27214650049484373</v>
      </c>
      <c r="J179" s="61">
        <v>0.27190546017767836</v>
      </c>
      <c r="K179" s="69">
        <v>40</v>
      </c>
      <c r="L179" s="61">
        <f t="shared" si="32"/>
        <v>0.27190546017767836</v>
      </c>
      <c r="N179" s="72">
        <f t="shared" si="29"/>
        <v>10.498872642864178</v>
      </c>
      <c r="O179" s="72">
        <f t="shared" si="33"/>
        <v>419.95490571456713</v>
      </c>
      <c r="P179" s="137">
        <v>1.1494429959706092</v>
      </c>
      <c r="Q179" s="58">
        <f t="shared" si="34"/>
        <v>482.71422499710673</v>
      </c>
      <c r="R179" s="58">
        <f t="shared" si="35"/>
        <v>62.759319282539593</v>
      </c>
      <c r="S179" s="171">
        <f t="shared" si="36"/>
        <v>0.13001340344365397</v>
      </c>
    </row>
    <row r="180" spans="2:19" ht="15" customHeight="1" thickBot="1" x14ac:dyDescent="0.25">
      <c r="E180" s="70">
        <v>50</v>
      </c>
      <c r="F180" s="54">
        <f t="shared" si="30"/>
        <v>498.01571428571424</v>
      </c>
      <c r="G180" s="45">
        <f t="shared" si="31"/>
        <v>9.9603142857142846</v>
      </c>
      <c r="H180" s="62">
        <f t="shared" si="28"/>
        <v>0.25795147754593717</v>
      </c>
      <c r="J180" s="62">
        <v>0.2579019274150065</v>
      </c>
      <c r="K180" s="70">
        <v>50</v>
      </c>
      <c r="L180" s="62">
        <f t="shared" si="32"/>
        <v>0.2579019274150065</v>
      </c>
      <c r="N180" s="73">
        <f t="shared" si="29"/>
        <v>9.9581651964988271</v>
      </c>
      <c r="O180" s="73">
        <f t="shared" si="33"/>
        <v>497.90825982494135</v>
      </c>
      <c r="P180" s="138">
        <v>1.1493938536239221</v>
      </c>
      <c r="Q180" s="59">
        <f t="shared" si="34"/>
        <v>572.29269351137043</v>
      </c>
      <c r="R180" s="59">
        <f t="shared" si="35"/>
        <v>74.384433686429077</v>
      </c>
      <c r="S180" s="170">
        <f t="shared" si="36"/>
        <v>0.12997620715727554</v>
      </c>
    </row>
    <row r="181" spans="2:19" ht="15" customHeight="1" x14ac:dyDescent="0.2"/>
    <row r="182" spans="2:19" ht="15" customHeight="1" x14ac:dyDescent="0.2"/>
    <row r="183" spans="2:19" ht="15" customHeight="1" x14ac:dyDescent="0.2"/>
    <row r="184" spans="2:19" ht="15" customHeight="1" x14ac:dyDescent="0.2"/>
    <row r="185" spans="2:19" ht="15" customHeight="1" x14ac:dyDescent="0.2"/>
    <row r="186" spans="2:19" ht="15" customHeight="1" x14ac:dyDescent="0.2"/>
    <row r="187" spans="2:19" ht="15" customHeight="1" x14ac:dyDescent="0.2"/>
    <row r="188" spans="2:19" ht="15" customHeight="1" x14ac:dyDescent="0.2"/>
    <row r="189" spans="2:19" ht="15" customHeight="1" x14ac:dyDescent="0.2"/>
    <row r="190" spans="2:19" ht="15" customHeight="1" x14ac:dyDescent="0.2"/>
    <row r="191" spans="2:19" ht="15" customHeight="1" x14ac:dyDescent="0.2">
      <c r="F191" s="41"/>
      <c r="G191" s="41"/>
      <c r="H191" s="41"/>
      <c r="I191" s="41"/>
      <c r="J191" s="41"/>
      <c r="K191" s="41"/>
      <c r="L191" s="41"/>
      <c r="M191" s="41"/>
      <c r="N191" s="41"/>
      <c r="O191" s="41"/>
      <c r="P191" s="41"/>
    </row>
    <row r="192" spans="2:19" ht="15" customHeight="1" x14ac:dyDescent="0.2">
      <c r="B192" s="90"/>
    </row>
    <row r="193" spans="1:15" ht="15" customHeight="1" x14ac:dyDescent="0.2">
      <c r="A193" s="90" t="s">
        <v>95</v>
      </c>
      <c r="B193" s="64" t="s">
        <v>101</v>
      </c>
    </row>
    <row r="194" spans="1:15" ht="15" customHeight="1" x14ac:dyDescent="0.2"/>
    <row r="195" spans="1:15" ht="15" customHeight="1" x14ac:dyDescent="0.2">
      <c r="B195" s="90" t="s">
        <v>91</v>
      </c>
    </row>
    <row r="196" spans="1:15" ht="15" customHeight="1" x14ac:dyDescent="0.2">
      <c r="B196" s="64" t="s">
        <v>92</v>
      </c>
      <c r="J196" s="64" t="s">
        <v>88</v>
      </c>
    </row>
    <row r="197" spans="1:15" ht="15" customHeight="1" x14ac:dyDescent="0.2">
      <c r="B197" s="90" t="s">
        <v>93</v>
      </c>
      <c r="H197" t="s">
        <v>89</v>
      </c>
    </row>
    <row r="198" spans="1:15" ht="15" customHeight="1" x14ac:dyDescent="0.2">
      <c r="F198" s="117" t="s">
        <v>56</v>
      </c>
      <c r="L198" s="164" t="s">
        <v>90</v>
      </c>
    </row>
    <row r="199" spans="1:15" ht="15" customHeight="1" x14ac:dyDescent="0.2">
      <c r="F199" s="117" t="s">
        <v>35</v>
      </c>
      <c r="H199" s="173" t="s">
        <v>33</v>
      </c>
      <c r="L199" s="65">
        <v>1</v>
      </c>
      <c r="M199" s="52" t="s">
        <v>12</v>
      </c>
      <c r="N199" s="124" t="s">
        <v>27</v>
      </c>
      <c r="O199" s="181" t="s">
        <v>35</v>
      </c>
    </row>
    <row r="200" spans="1:15" ht="15" customHeight="1" x14ac:dyDescent="0.2">
      <c r="B200" s="79">
        <v>2.46</v>
      </c>
      <c r="C200" s="78" t="s">
        <v>3</v>
      </c>
      <c r="D200" s="10"/>
      <c r="E200" s="3" t="s">
        <v>2</v>
      </c>
      <c r="F200" s="117" t="s">
        <v>72</v>
      </c>
      <c r="G200" s="29" t="s">
        <v>20</v>
      </c>
      <c r="H200" s="4" t="s">
        <v>25</v>
      </c>
      <c r="J200" s="38" t="s">
        <v>60</v>
      </c>
      <c r="K200" s="3" t="s">
        <v>2</v>
      </c>
      <c r="L200" s="4" t="s">
        <v>25</v>
      </c>
      <c r="M200" s="21" t="s">
        <v>13</v>
      </c>
      <c r="N200" s="125" t="s">
        <v>61</v>
      </c>
      <c r="O200" s="21" t="s">
        <v>19</v>
      </c>
    </row>
    <row r="201" spans="1:15" ht="15" customHeight="1" x14ac:dyDescent="0.2">
      <c r="B201" s="80">
        <v>5</v>
      </c>
      <c r="C201" s="1" t="s">
        <v>0</v>
      </c>
      <c r="D201" s="22"/>
      <c r="E201" s="71">
        <v>1</v>
      </c>
      <c r="F201" s="166">
        <f t="shared" ref="F201:F210" si="37">G129</f>
        <v>0.315</v>
      </c>
      <c r="G201" s="49">
        <f>F201/E201</f>
        <v>0.315</v>
      </c>
      <c r="H201" s="178">
        <f>SQRT(12*32.2*G201^2/(4*$B$202*($B$201*56)*$B$200^2))</f>
        <v>8.1578465393919233E-3</v>
      </c>
      <c r="J201" s="178">
        <v>8.1578465393919233E-3</v>
      </c>
      <c r="K201" s="71">
        <v>1</v>
      </c>
      <c r="L201" s="178">
        <f>J201*$L$199</f>
        <v>8.1578465393919233E-3</v>
      </c>
      <c r="M201" s="5">
        <f>(B201*2.20462*25.4*12)</f>
        <v>3359.8408799999997</v>
      </c>
      <c r="N201" s="74">
        <f>L201*B$200*SQRT(4*B$202*M$201/32.2)/12</f>
        <v>0.31499254116169167</v>
      </c>
      <c r="O201" s="218">
        <f>K201*N201</f>
        <v>0.31499254116169167</v>
      </c>
    </row>
    <row r="202" spans="1:15" ht="15" customHeight="1" x14ac:dyDescent="0.2">
      <c r="B202" s="81">
        <v>85</v>
      </c>
      <c r="C202" s="77" t="s">
        <v>1</v>
      </c>
      <c r="D202" s="17"/>
      <c r="E202" s="70">
        <v>2</v>
      </c>
      <c r="F202" s="167">
        <f t="shared" si="37"/>
        <v>1.36</v>
      </c>
      <c r="G202" s="48">
        <f t="shared" ref="G202:G210" si="38">F202/E202</f>
        <v>0.68</v>
      </c>
      <c r="H202" s="179">
        <f t="shared" ref="H202:H210" si="39">SQRT(12*32.2*G202^2/(4*$B$202*($B$201*56)*$B$200^2))</f>
        <v>1.7610589354877804E-2</v>
      </c>
      <c r="J202" s="179">
        <v>1.7610589354877804E-2</v>
      </c>
      <c r="K202" s="70">
        <v>2</v>
      </c>
      <c r="L202" s="179">
        <f t="shared" ref="L202:L210" si="40">J202*$L$199</f>
        <v>1.7610589354877804E-2</v>
      </c>
      <c r="N202" s="73">
        <f t="shared" ref="N202:N210" si="41">L202*B$200*SQRT(4*B$202*M$201/32.2)/12</f>
        <v>0.67998389838079476</v>
      </c>
      <c r="O202" s="219">
        <f t="shared" ref="O202" si="42">K202*N202</f>
        <v>1.3599677967615895</v>
      </c>
    </row>
    <row r="203" spans="1:15" ht="15" customHeight="1" x14ac:dyDescent="0.2">
      <c r="E203" s="69">
        <v>3</v>
      </c>
      <c r="F203" s="168">
        <f t="shared" si="37"/>
        <v>2.96</v>
      </c>
      <c r="G203" s="47">
        <f t="shared" si="38"/>
        <v>0.98666666666666669</v>
      </c>
      <c r="H203" s="180">
        <f t="shared" si="39"/>
        <v>2.5552619848254063E-2</v>
      </c>
      <c r="J203" s="180">
        <v>2.5552619848254063E-2</v>
      </c>
      <c r="K203" s="69">
        <v>3</v>
      </c>
      <c r="L203" s="180">
        <f t="shared" si="40"/>
        <v>2.5552619848254063E-2</v>
      </c>
      <c r="N203" s="72">
        <f t="shared" si="41"/>
        <v>0.98664330353291785</v>
      </c>
      <c r="O203" s="220">
        <f>K203*N203</f>
        <v>2.9599299105987535</v>
      </c>
    </row>
    <row r="204" spans="1:15" ht="15" customHeight="1" x14ac:dyDescent="0.2">
      <c r="E204" s="69">
        <v>4</v>
      </c>
      <c r="F204" s="168">
        <f t="shared" si="37"/>
        <v>5.04</v>
      </c>
      <c r="G204" s="47">
        <f t="shared" si="38"/>
        <v>1.26</v>
      </c>
      <c r="H204" s="180">
        <f t="shared" si="39"/>
        <v>3.2631386157567693E-2</v>
      </c>
      <c r="J204" s="180">
        <v>3.2631386157567693E-2</v>
      </c>
      <c r="K204" s="69">
        <v>4</v>
      </c>
      <c r="L204" s="180">
        <f t="shared" si="40"/>
        <v>3.2631386157567693E-2</v>
      </c>
      <c r="N204" s="72">
        <f t="shared" si="41"/>
        <v>1.2599701646467667</v>
      </c>
      <c r="O204" s="220">
        <f t="shared" ref="O204:O210" si="43">K204*N204</f>
        <v>5.0398806585870668</v>
      </c>
    </row>
    <row r="205" spans="1:15" ht="15" customHeight="1" x14ac:dyDescent="0.2">
      <c r="E205" s="70">
        <v>5</v>
      </c>
      <c r="F205" s="167">
        <f t="shared" si="37"/>
        <v>7.32</v>
      </c>
      <c r="G205" s="48">
        <f t="shared" si="38"/>
        <v>1.464</v>
      </c>
      <c r="H205" s="179">
        <f t="shared" si="39"/>
        <v>3.7914562964031027E-2</v>
      </c>
      <c r="J205" s="179">
        <v>3.7914562964031027E-2</v>
      </c>
      <c r="K205" s="70">
        <v>5</v>
      </c>
      <c r="L205" s="179">
        <f t="shared" si="40"/>
        <v>3.7914562964031027E-2</v>
      </c>
      <c r="N205" s="73">
        <f t="shared" si="41"/>
        <v>1.4639653341610048</v>
      </c>
      <c r="O205" s="219">
        <f t="shared" si="43"/>
        <v>7.3198266708050239</v>
      </c>
    </row>
    <row r="206" spans="1:15" ht="15" customHeight="1" x14ac:dyDescent="0.2">
      <c r="E206" s="69">
        <v>10</v>
      </c>
      <c r="F206" s="168">
        <f t="shared" si="37"/>
        <v>18.13</v>
      </c>
      <c r="G206" s="47">
        <f t="shared" si="38"/>
        <v>1.8129999999999999</v>
      </c>
      <c r="H206" s="180">
        <f t="shared" si="39"/>
        <v>4.6952938971166841E-2</v>
      </c>
      <c r="J206" s="180">
        <v>4.6952938971166841E-2</v>
      </c>
      <c r="K206" s="75">
        <v>10</v>
      </c>
      <c r="L206" s="180">
        <f t="shared" si="40"/>
        <v>4.6952938971166841E-2</v>
      </c>
      <c r="M206" s="41"/>
      <c r="N206" s="76">
        <f t="shared" si="41"/>
        <v>1.8129570702417361</v>
      </c>
      <c r="O206" s="221">
        <f t="shared" si="43"/>
        <v>18.129570702417361</v>
      </c>
    </row>
    <row r="207" spans="1:15" ht="15" customHeight="1" x14ac:dyDescent="0.2">
      <c r="E207" s="69">
        <v>20</v>
      </c>
      <c r="F207" s="168">
        <f t="shared" si="37"/>
        <v>37.728000000000002</v>
      </c>
      <c r="G207" s="47">
        <f t="shared" si="38"/>
        <v>1.8864000000000001</v>
      </c>
      <c r="H207" s="180">
        <f t="shared" si="39"/>
        <v>4.8853846704472771E-2</v>
      </c>
      <c r="J207" s="180">
        <v>4.8853846704472771E-2</v>
      </c>
      <c r="K207" s="69">
        <v>20</v>
      </c>
      <c r="L207" s="180">
        <f t="shared" si="40"/>
        <v>4.8853846704472771E-2</v>
      </c>
      <c r="N207" s="72">
        <f t="shared" si="41"/>
        <v>1.8863553322140165</v>
      </c>
      <c r="O207" s="220">
        <f t="shared" si="43"/>
        <v>37.727106644280333</v>
      </c>
    </row>
    <row r="208" spans="1:15" ht="15" customHeight="1" x14ac:dyDescent="0.2">
      <c r="E208" s="69">
        <v>30</v>
      </c>
      <c r="F208" s="168">
        <f t="shared" si="37"/>
        <v>50.866</v>
      </c>
      <c r="G208" s="47">
        <f t="shared" si="38"/>
        <v>1.6955333333333333</v>
      </c>
      <c r="H208" s="180">
        <f t="shared" si="39"/>
        <v>4.391079598653011E-2</v>
      </c>
      <c r="J208" s="180">
        <v>4.391079598653011E-2</v>
      </c>
      <c r="K208" s="69">
        <v>30</v>
      </c>
      <c r="L208" s="180">
        <f t="shared" si="40"/>
        <v>4.391079598653011E-2</v>
      </c>
      <c r="N208" s="72">
        <f t="shared" si="41"/>
        <v>1.6954931850508579</v>
      </c>
      <c r="O208" s="220">
        <f t="shared" si="43"/>
        <v>50.864795551525738</v>
      </c>
    </row>
    <row r="209" spans="1:16" ht="15" customHeight="1" x14ac:dyDescent="0.2">
      <c r="E209" s="69">
        <v>40</v>
      </c>
      <c r="F209" s="168">
        <f t="shared" si="37"/>
        <v>62.758000000000003</v>
      </c>
      <c r="G209" s="47">
        <f t="shared" si="38"/>
        <v>1.5689500000000001</v>
      </c>
      <c r="H209" s="180">
        <f t="shared" si="39"/>
        <v>4.0632550247552246E-2</v>
      </c>
      <c r="J209" s="180">
        <v>4.0632550247552246E-2</v>
      </c>
      <c r="K209" s="69">
        <v>40</v>
      </c>
      <c r="L209" s="180">
        <f t="shared" si="40"/>
        <v>4.0632550247552246E-2</v>
      </c>
      <c r="N209" s="72">
        <f t="shared" si="41"/>
        <v>1.5689128490655115</v>
      </c>
      <c r="O209" s="220">
        <f t="shared" si="43"/>
        <v>62.75651396262046</v>
      </c>
    </row>
    <row r="210" spans="1:16" ht="15" customHeight="1" x14ac:dyDescent="0.2">
      <c r="E210" s="70">
        <v>50</v>
      </c>
      <c r="F210" s="167">
        <f t="shared" si="37"/>
        <v>74.391000000000005</v>
      </c>
      <c r="G210" s="48">
        <f t="shared" si="38"/>
        <v>1.4878200000000001</v>
      </c>
      <c r="H210" s="179">
        <f t="shared" si="39"/>
        <v>3.8531451549962195E-2</v>
      </c>
      <c r="J210" s="179">
        <v>3.8531451549962195E-2</v>
      </c>
      <c r="K210" s="70">
        <v>50</v>
      </c>
      <c r="L210" s="179">
        <f t="shared" si="40"/>
        <v>3.8531451549962195E-2</v>
      </c>
      <c r="N210" s="73">
        <f t="shared" si="41"/>
        <v>1.4877847701307561</v>
      </c>
      <c r="O210" s="219">
        <f t="shared" si="43"/>
        <v>74.389238506537808</v>
      </c>
    </row>
    <row r="211" spans="1:16" ht="15" customHeight="1" x14ac:dyDescent="0.2"/>
    <row r="212" spans="1:16" ht="15" customHeight="1" x14ac:dyDescent="0.2">
      <c r="O212" s="37"/>
    </row>
    <row r="213" spans="1:16" ht="15" customHeight="1" x14ac:dyDescent="0.2">
      <c r="O213" s="37"/>
    </row>
    <row r="214" spans="1:16" ht="15" customHeight="1" x14ac:dyDescent="0.2">
      <c r="O214" s="37"/>
    </row>
    <row r="215" spans="1:16" ht="15" customHeight="1" x14ac:dyDescent="0.2">
      <c r="O215" s="37"/>
    </row>
    <row r="216" spans="1:16" ht="15" customHeight="1" x14ac:dyDescent="0.2">
      <c r="O216" s="37"/>
    </row>
    <row r="217" spans="1:16" ht="15" customHeight="1" x14ac:dyDescent="0.2">
      <c r="A217" s="51"/>
      <c r="B217" s="9"/>
      <c r="C217" s="9"/>
      <c r="D217" s="9"/>
      <c r="E217" s="9"/>
      <c r="F217" s="9"/>
      <c r="G217" s="9"/>
      <c r="H217" s="9"/>
      <c r="I217" s="9"/>
      <c r="J217" s="9"/>
      <c r="K217" s="9"/>
      <c r="L217" s="9"/>
      <c r="M217" s="9"/>
      <c r="N217" s="9"/>
      <c r="O217" s="272"/>
      <c r="P217" s="10"/>
    </row>
    <row r="218" spans="1:16" ht="15" customHeight="1" x14ac:dyDescent="0.2">
      <c r="A218" s="35"/>
      <c r="B218" s="1"/>
      <c r="C218" s="1"/>
      <c r="D218" s="1"/>
      <c r="E218" s="1"/>
      <c r="F218" s="1"/>
      <c r="G218" s="1"/>
      <c r="H218" s="1"/>
      <c r="I218" s="1"/>
      <c r="J218" s="1"/>
      <c r="K218" s="1"/>
      <c r="L218" s="1"/>
      <c r="M218" s="1"/>
      <c r="N218" s="1"/>
      <c r="O218" s="298" t="s">
        <v>150</v>
      </c>
      <c r="P218" s="299">
        <v>4</v>
      </c>
    </row>
    <row r="219" spans="1:16" ht="15" customHeight="1" x14ac:dyDescent="0.2">
      <c r="A219" s="35"/>
      <c r="B219" s="1"/>
      <c r="C219" s="1"/>
      <c r="D219" s="1"/>
      <c r="E219" s="1"/>
      <c r="F219" s="1"/>
      <c r="G219" s="1"/>
      <c r="H219" s="1"/>
      <c r="I219" s="1"/>
      <c r="J219" s="1"/>
      <c r="K219" s="1"/>
      <c r="L219" s="1"/>
      <c r="M219" s="1"/>
      <c r="N219" s="1"/>
      <c r="O219" s="273"/>
      <c r="P219" s="22"/>
    </row>
    <row r="220" spans="1:16" ht="15" customHeight="1" x14ac:dyDescent="0.2">
      <c r="A220" s="274" t="s">
        <v>98</v>
      </c>
      <c r="B220" s="275" t="s">
        <v>99</v>
      </c>
      <c r="C220" s="1"/>
      <c r="D220" s="1"/>
      <c r="E220" s="1"/>
      <c r="F220" s="1"/>
      <c r="G220" s="1"/>
      <c r="H220" s="1"/>
      <c r="I220" s="1"/>
      <c r="J220" s="1"/>
      <c r="K220" s="276" t="s">
        <v>121</v>
      </c>
      <c r="L220" s="1"/>
      <c r="M220" s="1"/>
      <c r="N220" s="1"/>
      <c r="O220" s="273" t="s">
        <v>122</v>
      </c>
      <c r="P220" s="22"/>
    </row>
    <row r="221" spans="1:16" ht="15" customHeight="1" x14ac:dyDescent="0.2">
      <c r="A221" s="35"/>
      <c r="B221" s="275" t="s">
        <v>49</v>
      </c>
      <c r="C221" s="1"/>
      <c r="D221" s="1"/>
      <c r="E221" s="1"/>
      <c r="F221" s="1"/>
      <c r="G221" s="1"/>
      <c r="H221" s="1"/>
      <c r="I221" s="1"/>
      <c r="J221" s="1"/>
      <c r="K221" s="1"/>
      <c r="L221" s="1"/>
      <c r="M221" s="1"/>
      <c r="N221" s="1"/>
      <c r="O221" s="273"/>
      <c r="P221" s="22"/>
    </row>
    <row r="222" spans="1:16" ht="15" customHeight="1" x14ac:dyDescent="0.2">
      <c r="A222" s="35"/>
      <c r="B222" s="277" t="s">
        <v>58</v>
      </c>
      <c r="C222" s="1"/>
      <c r="D222" s="1"/>
      <c r="E222" s="1"/>
      <c r="F222" s="1"/>
      <c r="G222" s="1"/>
      <c r="H222" s="1"/>
      <c r="I222" s="1"/>
      <c r="J222" s="1"/>
      <c r="K222" s="1"/>
      <c r="L222" s="1"/>
      <c r="M222" s="1"/>
      <c r="N222" s="1"/>
      <c r="O222" s="1"/>
      <c r="P222" s="22"/>
    </row>
    <row r="223" spans="1:16" ht="15" customHeight="1" x14ac:dyDescent="0.2">
      <c r="A223" s="11"/>
      <c r="B223" s="279" t="s">
        <v>112</v>
      </c>
      <c r="C223" s="275" t="s">
        <v>123</v>
      </c>
      <c r="D223" s="1"/>
      <c r="E223" s="1"/>
      <c r="F223" s="1"/>
      <c r="G223" s="1"/>
      <c r="H223" s="1"/>
      <c r="I223" s="1"/>
      <c r="J223" s="1"/>
      <c r="K223" s="1"/>
      <c r="L223" s="1"/>
      <c r="M223" s="1"/>
      <c r="N223" s="1"/>
      <c r="O223" s="1"/>
      <c r="P223" s="22"/>
    </row>
    <row r="224" spans="1:16" ht="15" customHeight="1" x14ac:dyDescent="0.2">
      <c r="A224" s="11"/>
      <c r="B224" s="279"/>
      <c r="C224" s="275"/>
      <c r="D224" s="1"/>
      <c r="E224" s="1"/>
      <c r="F224" s="1"/>
      <c r="G224" s="1"/>
      <c r="H224" s="1"/>
      <c r="I224" s="1"/>
      <c r="J224" s="1"/>
      <c r="K224" s="1"/>
      <c r="L224" s="1"/>
      <c r="M224" s="1"/>
      <c r="N224" s="1"/>
      <c r="O224" s="1"/>
      <c r="P224" s="22"/>
    </row>
    <row r="225" spans="1:16" ht="15" customHeight="1" x14ac:dyDescent="0.2">
      <c r="A225" s="11"/>
      <c r="B225" s="279"/>
      <c r="C225" s="275"/>
      <c r="D225" s="1"/>
      <c r="E225" s="1"/>
      <c r="F225" s="1"/>
      <c r="G225" s="1"/>
      <c r="H225" s="1"/>
      <c r="I225" s="1"/>
      <c r="J225" s="1"/>
      <c r="K225" s="1"/>
      <c r="L225" s="1"/>
      <c r="M225" s="1"/>
      <c r="N225" s="1"/>
      <c r="O225" s="1"/>
      <c r="P225" s="22"/>
    </row>
    <row r="226" spans="1:16" ht="15" customHeight="1" x14ac:dyDescent="0.2">
      <c r="A226" s="11"/>
      <c r="B226" s="279"/>
      <c r="C226" s="275"/>
      <c r="D226" s="1"/>
      <c r="E226" s="1"/>
      <c r="F226" s="1"/>
      <c r="G226" s="1"/>
      <c r="H226" s="1"/>
      <c r="I226" s="1"/>
      <c r="J226" s="1"/>
      <c r="K226" s="1"/>
      <c r="L226" s="1"/>
      <c r="M226" s="1"/>
      <c r="N226" s="1"/>
      <c r="O226" s="1"/>
      <c r="P226" s="22"/>
    </row>
    <row r="227" spans="1:16" ht="15" customHeight="1" x14ac:dyDescent="0.2">
      <c r="A227" s="11"/>
      <c r="B227" s="279"/>
      <c r="C227" s="275"/>
      <c r="D227" s="1"/>
      <c r="E227" s="1"/>
      <c r="F227" s="1"/>
      <c r="G227" s="1"/>
      <c r="H227" s="1"/>
      <c r="I227" s="1"/>
      <c r="J227" s="1"/>
      <c r="K227" s="1"/>
      <c r="L227" s="1"/>
      <c r="M227" s="1"/>
      <c r="N227" s="1"/>
      <c r="O227" s="1"/>
      <c r="P227" s="22"/>
    </row>
    <row r="228" spans="1:16" ht="15" customHeight="1" x14ac:dyDescent="0.2">
      <c r="A228" s="35"/>
      <c r="B228" s="1"/>
      <c r="C228" s="1"/>
      <c r="D228" s="1"/>
      <c r="E228" s="1"/>
      <c r="F228" s="1"/>
      <c r="G228" s="1"/>
      <c r="H228" s="101" t="str">
        <f>J99</f>
        <v xml:space="preserve"> average</v>
      </c>
      <c r="I228" s="1"/>
      <c r="J228" s="1"/>
      <c r="K228" s="1"/>
      <c r="L228" s="1"/>
      <c r="M228" s="1"/>
      <c r="N228" s="1"/>
      <c r="O228" s="1"/>
      <c r="P228" s="22"/>
    </row>
    <row r="229" spans="1:16" ht="15" customHeight="1" x14ac:dyDescent="0.2">
      <c r="A229" s="300" t="s">
        <v>151</v>
      </c>
      <c r="B229" s="366">
        <f>D150</f>
        <v>5</v>
      </c>
      <c r="C229" s="101" t="s">
        <v>56</v>
      </c>
      <c r="D229" s="89" t="s">
        <v>56</v>
      </c>
      <c r="E229" s="91" t="s">
        <v>56</v>
      </c>
      <c r="F229" s="193" t="s">
        <v>33</v>
      </c>
      <c r="G229" s="199" t="s">
        <v>56</v>
      </c>
      <c r="H229" s="101" t="s">
        <v>47</v>
      </c>
      <c r="I229" s="101" t="s">
        <v>22</v>
      </c>
      <c r="J229" s="101" t="s">
        <v>22</v>
      </c>
      <c r="K229" s="200" t="s">
        <v>47</v>
      </c>
      <c r="L229" s="103" t="s">
        <v>40</v>
      </c>
      <c r="M229" s="204" t="s">
        <v>33</v>
      </c>
      <c r="N229" s="103" t="s">
        <v>35</v>
      </c>
      <c r="O229" s="1"/>
      <c r="P229" s="103" t="s">
        <v>40</v>
      </c>
    </row>
    <row r="230" spans="1:16" ht="15" customHeight="1" x14ac:dyDescent="0.2">
      <c r="A230" s="35"/>
      <c r="B230" s="107"/>
      <c r="C230" s="187" t="s">
        <v>40</v>
      </c>
      <c r="D230" s="185" t="s">
        <v>41</v>
      </c>
      <c r="E230" s="117" t="s">
        <v>32</v>
      </c>
      <c r="F230" s="194" t="s">
        <v>50</v>
      </c>
      <c r="G230" s="104" t="s">
        <v>33</v>
      </c>
      <c r="H230" s="102" t="s">
        <v>35</v>
      </c>
      <c r="I230" s="102" t="s">
        <v>37</v>
      </c>
      <c r="J230" s="102" t="s">
        <v>38</v>
      </c>
      <c r="K230" s="201" t="s">
        <v>28</v>
      </c>
      <c r="L230" s="104" t="s">
        <v>39</v>
      </c>
      <c r="M230" s="203" t="s">
        <v>39</v>
      </c>
      <c r="N230" s="104" t="s">
        <v>39</v>
      </c>
      <c r="O230" s="1"/>
      <c r="P230" s="104" t="s">
        <v>39</v>
      </c>
    </row>
    <row r="231" spans="1:16" ht="15" customHeight="1" x14ac:dyDescent="0.2">
      <c r="A231" s="35"/>
      <c r="B231" s="107" t="s">
        <v>21</v>
      </c>
      <c r="C231" s="188" t="s">
        <v>53</v>
      </c>
      <c r="D231" s="186" t="s">
        <v>53</v>
      </c>
      <c r="E231" s="113" t="s">
        <v>53</v>
      </c>
      <c r="F231" s="195" t="s">
        <v>54</v>
      </c>
      <c r="G231" s="188" t="s">
        <v>53</v>
      </c>
      <c r="H231" s="188" t="s">
        <v>53</v>
      </c>
      <c r="I231" s="188" t="s">
        <v>53</v>
      </c>
      <c r="J231" s="188" t="s">
        <v>53</v>
      </c>
      <c r="K231" s="202" t="s">
        <v>100</v>
      </c>
      <c r="L231" s="104"/>
      <c r="M231" s="203"/>
      <c r="N231" s="104"/>
      <c r="O231" s="1"/>
      <c r="P231" s="104" t="s">
        <v>51</v>
      </c>
    </row>
    <row r="232" spans="1:16" ht="15" customHeight="1" x14ac:dyDescent="0.2">
      <c r="A232" s="35"/>
      <c r="B232" s="107">
        <v>1</v>
      </c>
      <c r="C232" s="189">
        <f t="shared" ref="C232:C241" si="44">C129</f>
        <v>35.876072215074458</v>
      </c>
      <c r="D232" s="222">
        <f t="shared" ref="D232:E232" si="45">D129</f>
        <v>112.87607221507446</v>
      </c>
      <c r="E232" s="196">
        <f t="shared" si="45"/>
        <v>22.876072215074458</v>
      </c>
      <c r="F232" s="196">
        <f>G232+J232</f>
        <v>35.561072215074461</v>
      </c>
      <c r="G232" s="189">
        <f t="shared" ref="G232:H241" si="46">F129</f>
        <v>22.561072215074457</v>
      </c>
      <c r="H232" s="225">
        <f t="shared" si="46"/>
        <v>0.315</v>
      </c>
      <c r="I232" s="229">
        <f t="shared" ref="I232:I241" si="47">J129</f>
        <v>77</v>
      </c>
      <c r="J232" s="229">
        <f t="shared" ref="J232:J241" si="48">L129</f>
        <v>13</v>
      </c>
      <c r="K232" s="294">
        <f>H232/E232</f>
        <v>1.3769846372159424E-2</v>
      </c>
      <c r="L232" s="233">
        <f t="shared" ref="L232:L241" si="49">F149</f>
        <v>0.92880188574588163</v>
      </c>
      <c r="M232" s="233">
        <f t="shared" ref="M232:M241" si="50">H171</f>
        <v>0.58428496791973461</v>
      </c>
      <c r="N232" s="233">
        <f t="shared" ref="N232:N241" si="51">H201</f>
        <v>8.1578465393919233E-3</v>
      </c>
      <c r="O232" s="1"/>
      <c r="P232" s="237">
        <f>L232</f>
        <v>0.92880188574588163</v>
      </c>
    </row>
    <row r="233" spans="1:16" ht="15" customHeight="1" x14ac:dyDescent="0.2">
      <c r="A233" s="35"/>
      <c r="B233" s="107">
        <v>2</v>
      </c>
      <c r="C233" s="190">
        <f t="shared" si="44"/>
        <v>58.387816103748463</v>
      </c>
      <c r="D233" s="223">
        <f t="shared" ref="D233:E241" si="52">D130</f>
        <v>135.38781610374846</v>
      </c>
      <c r="E233" s="197">
        <f t="shared" si="52"/>
        <v>45.387816103748463</v>
      </c>
      <c r="F233" s="197">
        <f t="shared" ref="F233:F241" si="53">G233+J233</f>
        <v>57.027816103748464</v>
      </c>
      <c r="G233" s="190">
        <f t="shared" si="46"/>
        <v>44.027816103748464</v>
      </c>
      <c r="H233" s="226">
        <f t="shared" si="46"/>
        <v>1.36</v>
      </c>
      <c r="I233" s="230">
        <f t="shared" si="47"/>
        <v>77</v>
      </c>
      <c r="J233" s="230">
        <f t="shared" si="48"/>
        <v>13</v>
      </c>
      <c r="K233" s="295">
        <f t="shared" ref="K233:K241" si="54">H233/E233</f>
        <v>2.9963988505005007E-2</v>
      </c>
      <c r="L233" s="234">
        <f t="shared" si="49"/>
        <v>0.75675400791901359</v>
      </c>
      <c r="M233" s="234">
        <f t="shared" si="50"/>
        <v>0.57011455117293386</v>
      </c>
      <c r="N233" s="234">
        <f t="shared" si="51"/>
        <v>1.7610589354877804E-2</v>
      </c>
      <c r="O233" s="1"/>
      <c r="P233" s="238">
        <f t="shared" ref="P233:P241" si="55">L233</f>
        <v>0.75675400791901359</v>
      </c>
    </row>
    <row r="234" spans="1:16" ht="15" customHeight="1" x14ac:dyDescent="0.2">
      <c r="A234" s="35"/>
      <c r="B234" s="107">
        <v>3</v>
      </c>
      <c r="C234" s="191">
        <f t="shared" si="44"/>
        <v>78.09350198514494</v>
      </c>
      <c r="D234" s="224">
        <f t="shared" si="52"/>
        <v>155.09350198514494</v>
      </c>
      <c r="E234" s="198">
        <f t="shared" si="52"/>
        <v>65.093501985144925</v>
      </c>
      <c r="F234" s="198">
        <f t="shared" si="53"/>
        <v>75.133501985144932</v>
      </c>
      <c r="G234" s="191">
        <f t="shared" si="46"/>
        <v>62.133501985144932</v>
      </c>
      <c r="H234" s="227">
        <f t="shared" si="46"/>
        <v>2.96</v>
      </c>
      <c r="I234" s="231">
        <f t="shared" si="47"/>
        <v>77</v>
      </c>
      <c r="J234" s="231">
        <f t="shared" si="48"/>
        <v>13</v>
      </c>
      <c r="K234" s="296">
        <f t="shared" si="54"/>
        <v>4.547304891777839E-2</v>
      </c>
      <c r="L234" s="235">
        <f t="shared" si="49"/>
        <v>0.6744</v>
      </c>
      <c r="M234" s="235">
        <f t="shared" si="50"/>
        <v>0.53637626894160395</v>
      </c>
      <c r="N234" s="235">
        <f t="shared" si="51"/>
        <v>2.5552619848254063E-2</v>
      </c>
      <c r="O234" s="1"/>
      <c r="P234" s="239">
        <f t="shared" si="55"/>
        <v>0.6744</v>
      </c>
    </row>
    <row r="235" spans="1:16" ht="15" customHeight="1" x14ac:dyDescent="0.2">
      <c r="A235" s="35"/>
      <c r="B235" s="107">
        <v>4</v>
      </c>
      <c r="C235" s="191">
        <f t="shared" si="44"/>
        <v>95.58413099588762</v>
      </c>
      <c r="D235" s="224">
        <f t="shared" si="52"/>
        <v>172.58413099588762</v>
      </c>
      <c r="E235" s="198">
        <f t="shared" si="52"/>
        <v>82.58413099588762</v>
      </c>
      <c r="F235" s="198">
        <f t="shared" si="53"/>
        <v>90.544130995887613</v>
      </c>
      <c r="G235" s="191">
        <f t="shared" si="46"/>
        <v>77.544130995887613</v>
      </c>
      <c r="H235" s="227">
        <f t="shared" si="46"/>
        <v>5.04</v>
      </c>
      <c r="I235" s="231">
        <f t="shared" si="47"/>
        <v>77</v>
      </c>
      <c r="J235" s="231">
        <f t="shared" si="48"/>
        <v>13</v>
      </c>
      <c r="K235" s="296">
        <f t="shared" si="54"/>
        <v>6.102867390166003E-2</v>
      </c>
      <c r="L235" s="235">
        <f t="shared" si="49"/>
        <v>0.61899999999999999</v>
      </c>
      <c r="M235" s="235">
        <f t="shared" si="50"/>
        <v>0.50205803229758394</v>
      </c>
      <c r="N235" s="235">
        <f t="shared" si="51"/>
        <v>3.2631386157567693E-2</v>
      </c>
      <c r="O235" s="1"/>
      <c r="P235" s="239">
        <f t="shared" si="55"/>
        <v>0.61899999999999999</v>
      </c>
    </row>
    <row r="236" spans="1:16" ht="15" customHeight="1" x14ac:dyDescent="0.2">
      <c r="A236" s="35"/>
      <c r="B236" s="107">
        <v>5</v>
      </c>
      <c r="C236" s="190">
        <f t="shared" si="44"/>
        <v>111.24570427260028</v>
      </c>
      <c r="D236" s="223">
        <f t="shared" si="52"/>
        <v>188.24570427260028</v>
      </c>
      <c r="E236" s="197">
        <f t="shared" si="52"/>
        <v>98.245704272600278</v>
      </c>
      <c r="F236" s="197">
        <f t="shared" si="53"/>
        <v>103.92570427260027</v>
      </c>
      <c r="G236" s="190">
        <f t="shared" si="46"/>
        <v>90.925704272600271</v>
      </c>
      <c r="H236" s="226">
        <f t="shared" si="46"/>
        <v>7.32</v>
      </c>
      <c r="I236" s="230">
        <f t="shared" si="47"/>
        <v>77</v>
      </c>
      <c r="J236" s="230">
        <f t="shared" si="48"/>
        <v>13</v>
      </c>
      <c r="K236" s="295">
        <f t="shared" si="54"/>
        <v>7.4507074423217023E-2</v>
      </c>
      <c r="L236" s="234">
        <f t="shared" si="49"/>
        <v>0.57599999999999996</v>
      </c>
      <c r="M236" s="234">
        <f t="shared" si="50"/>
        <v>0.47095742345524155</v>
      </c>
      <c r="N236" s="234">
        <f t="shared" si="51"/>
        <v>3.7914562964031027E-2</v>
      </c>
      <c r="O236" s="1"/>
      <c r="P236" s="238">
        <f t="shared" si="55"/>
        <v>0.57599999999999996</v>
      </c>
    </row>
    <row r="237" spans="1:16" ht="15" customHeight="1" x14ac:dyDescent="0.2">
      <c r="A237" s="35"/>
      <c r="B237" s="107">
        <v>10</v>
      </c>
      <c r="C237" s="191">
        <f t="shared" si="44"/>
        <v>181.84174435662925</v>
      </c>
      <c r="D237" s="224">
        <f t="shared" si="52"/>
        <v>258.84174435662925</v>
      </c>
      <c r="E237" s="198">
        <f t="shared" si="52"/>
        <v>168.84174435662925</v>
      </c>
      <c r="F237" s="198">
        <f t="shared" si="53"/>
        <v>163.71174435662925</v>
      </c>
      <c r="G237" s="191">
        <f t="shared" si="46"/>
        <v>150.71174435662925</v>
      </c>
      <c r="H237" s="227">
        <f t="shared" si="46"/>
        <v>18.13</v>
      </c>
      <c r="I237" s="231">
        <f t="shared" si="47"/>
        <v>77</v>
      </c>
      <c r="J237" s="231">
        <f t="shared" si="48"/>
        <v>13</v>
      </c>
      <c r="K237" s="296">
        <f t="shared" si="54"/>
        <v>0.10737865845371526</v>
      </c>
      <c r="L237" s="235">
        <f t="shared" si="49"/>
        <v>0.47</v>
      </c>
      <c r="M237" s="235">
        <f t="shared" si="50"/>
        <v>0.39031215306204697</v>
      </c>
      <c r="N237" s="235">
        <f t="shared" si="51"/>
        <v>4.6952938971166841E-2</v>
      </c>
      <c r="O237" s="1"/>
      <c r="P237" s="239">
        <f t="shared" si="55"/>
        <v>0.47</v>
      </c>
    </row>
    <row r="238" spans="1:16" ht="15" customHeight="1" x14ac:dyDescent="0.2">
      <c r="A238" s="35"/>
      <c r="B238" s="107">
        <v>20</v>
      </c>
      <c r="C238" s="191">
        <f t="shared" si="44"/>
        <v>302.86514285714293</v>
      </c>
      <c r="D238" s="224">
        <f t="shared" si="52"/>
        <v>379.86514285714293</v>
      </c>
      <c r="E238" s="198">
        <f t="shared" si="52"/>
        <v>289.86514285714293</v>
      </c>
      <c r="F238" s="198">
        <f t="shared" si="53"/>
        <v>265.13714285714292</v>
      </c>
      <c r="G238" s="191">
        <f t="shared" si="46"/>
        <v>252.13714285714292</v>
      </c>
      <c r="H238" s="227">
        <f t="shared" si="46"/>
        <v>37.728000000000002</v>
      </c>
      <c r="I238" s="231">
        <f t="shared" si="47"/>
        <v>77</v>
      </c>
      <c r="J238" s="231">
        <f t="shared" si="48"/>
        <v>13</v>
      </c>
      <c r="K238" s="296">
        <f t="shared" si="54"/>
        <v>0.13015707797123388</v>
      </c>
      <c r="L238" s="235">
        <f t="shared" si="49"/>
        <v>0.3926</v>
      </c>
      <c r="M238" s="235">
        <f t="shared" si="50"/>
        <v>0.32649144735068414</v>
      </c>
      <c r="N238" s="235">
        <f t="shared" si="51"/>
        <v>4.8853846704472771E-2</v>
      </c>
      <c r="O238" s="1"/>
      <c r="P238" s="239">
        <f t="shared" si="55"/>
        <v>0.3926</v>
      </c>
    </row>
    <row r="239" spans="1:16" ht="15" customHeight="1" x14ac:dyDescent="0.2">
      <c r="A239" s="35"/>
      <c r="B239" s="107">
        <v>30</v>
      </c>
      <c r="C239" s="191">
        <f t="shared" si="44"/>
        <v>404.06028571428578</v>
      </c>
      <c r="D239" s="224">
        <f t="shared" si="52"/>
        <v>481.06028571428578</v>
      </c>
      <c r="E239" s="198">
        <f t="shared" si="52"/>
        <v>391.06028571428578</v>
      </c>
      <c r="F239" s="198">
        <f t="shared" si="53"/>
        <v>353.1942857142858</v>
      </c>
      <c r="G239" s="191">
        <f t="shared" si="46"/>
        <v>340.1942857142858</v>
      </c>
      <c r="H239" s="227">
        <f t="shared" si="46"/>
        <v>50.866</v>
      </c>
      <c r="I239" s="231">
        <f t="shared" si="47"/>
        <v>77</v>
      </c>
      <c r="J239" s="231">
        <f t="shared" si="48"/>
        <v>13</v>
      </c>
      <c r="K239" s="296">
        <f t="shared" si="54"/>
        <v>0.13007201666385379</v>
      </c>
      <c r="L239" s="235">
        <f t="shared" si="49"/>
        <v>0.34889999999999999</v>
      </c>
      <c r="M239" s="235">
        <f t="shared" si="50"/>
        <v>0.29367754247991462</v>
      </c>
      <c r="N239" s="235">
        <f t="shared" si="51"/>
        <v>4.391079598653011E-2</v>
      </c>
      <c r="O239" s="1"/>
      <c r="P239" s="239">
        <f t="shared" si="55"/>
        <v>0.34889999999999999</v>
      </c>
    </row>
    <row r="240" spans="1:16" ht="15" customHeight="1" x14ac:dyDescent="0.2">
      <c r="A240" s="35"/>
      <c r="B240" s="107">
        <v>40</v>
      </c>
      <c r="C240" s="191">
        <f t="shared" si="44"/>
        <v>496.09514285714272</v>
      </c>
      <c r="D240" s="224">
        <f t="shared" si="52"/>
        <v>574.09514285714272</v>
      </c>
      <c r="E240" s="198">
        <f t="shared" si="52"/>
        <v>483.09514285714278</v>
      </c>
      <c r="F240" s="198">
        <f t="shared" si="53"/>
        <v>433.33714285714279</v>
      </c>
      <c r="G240" s="191">
        <f t="shared" si="46"/>
        <v>420.33714285714279</v>
      </c>
      <c r="H240" s="227">
        <f t="shared" si="46"/>
        <v>62.758000000000003</v>
      </c>
      <c r="I240" s="231">
        <f t="shared" si="47"/>
        <v>78</v>
      </c>
      <c r="J240" s="231">
        <f t="shared" si="48"/>
        <v>13</v>
      </c>
      <c r="K240" s="296">
        <f t="shared" si="54"/>
        <v>0.12990815769505329</v>
      </c>
      <c r="L240" s="235">
        <f t="shared" si="49"/>
        <v>0.32095000000000001</v>
      </c>
      <c r="M240" s="235">
        <f t="shared" si="50"/>
        <v>0.27214650049484373</v>
      </c>
      <c r="N240" s="235">
        <f t="shared" si="51"/>
        <v>4.0632550247552246E-2</v>
      </c>
      <c r="O240" s="1"/>
      <c r="P240" s="239">
        <f t="shared" si="55"/>
        <v>0.32095000000000001</v>
      </c>
    </row>
    <row r="241" spans="1:16" ht="15" customHeight="1" x14ac:dyDescent="0.2">
      <c r="A241" s="35"/>
      <c r="B241" s="107">
        <v>50</v>
      </c>
      <c r="C241" s="192">
        <f t="shared" si="44"/>
        <v>585.4067142857142</v>
      </c>
      <c r="D241" s="223">
        <f t="shared" si="52"/>
        <v>664.4067142857142</v>
      </c>
      <c r="E241" s="197">
        <f t="shared" si="52"/>
        <v>572.4067142857142</v>
      </c>
      <c r="F241" s="197">
        <f t="shared" si="53"/>
        <v>511.01571428571424</v>
      </c>
      <c r="G241" s="192">
        <f t="shared" si="46"/>
        <v>498.01571428571424</v>
      </c>
      <c r="H241" s="228">
        <f t="shared" si="46"/>
        <v>74.391000000000005</v>
      </c>
      <c r="I241" s="232">
        <f t="shared" si="47"/>
        <v>79</v>
      </c>
      <c r="J241" s="232">
        <f t="shared" si="48"/>
        <v>13</v>
      </c>
      <c r="K241" s="297">
        <f t="shared" si="54"/>
        <v>0.12996178790954585</v>
      </c>
      <c r="L241" s="236">
        <f t="shared" si="49"/>
        <v>0.30314999999999998</v>
      </c>
      <c r="M241" s="236">
        <f t="shared" si="50"/>
        <v>0.25795147754593717</v>
      </c>
      <c r="N241" s="236">
        <f t="shared" si="51"/>
        <v>3.8531451549962195E-2</v>
      </c>
      <c r="O241" s="1"/>
      <c r="P241" s="240">
        <f t="shared" si="55"/>
        <v>0.30314999999999998</v>
      </c>
    </row>
    <row r="242" spans="1:16" ht="15" customHeight="1" x14ac:dyDescent="0.2">
      <c r="A242" s="35"/>
      <c r="B242" s="1"/>
      <c r="C242" s="1"/>
      <c r="D242" s="1"/>
      <c r="E242" s="1"/>
      <c r="F242" s="1"/>
      <c r="G242" s="1"/>
      <c r="H242" s="1"/>
      <c r="I242" s="1"/>
      <c r="J242" s="1"/>
      <c r="K242" s="1"/>
      <c r="L242" s="1"/>
      <c r="M242" s="1"/>
      <c r="N242" s="1"/>
      <c r="O242" s="1"/>
      <c r="P242" s="22"/>
    </row>
    <row r="243" spans="1:16" ht="15" customHeight="1" x14ac:dyDescent="0.2">
      <c r="A243" s="35"/>
      <c r="B243" s="1"/>
      <c r="C243" s="1"/>
      <c r="D243" s="1"/>
      <c r="E243" s="1"/>
      <c r="F243" s="1"/>
      <c r="G243" s="1"/>
      <c r="H243" s="1"/>
      <c r="I243" s="1"/>
      <c r="J243" s="1"/>
      <c r="K243" s="1"/>
      <c r="L243" s="278" t="s">
        <v>133</v>
      </c>
      <c r="M243" s="281" t="s">
        <v>215</v>
      </c>
      <c r="N243" s="1"/>
      <c r="O243" s="1"/>
      <c r="P243" s="22"/>
    </row>
    <row r="244" spans="1:16" ht="15" customHeight="1" x14ac:dyDescent="0.2">
      <c r="A244" s="35"/>
      <c r="B244" s="1"/>
      <c r="C244" s="1"/>
      <c r="D244" s="1"/>
      <c r="E244" s="1"/>
      <c r="F244" s="1"/>
      <c r="G244" s="1"/>
      <c r="H244" s="1"/>
      <c r="I244" s="1"/>
      <c r="J244" s="1"/>
      <c r="K244" s="1"/>
      <c r="L244" s="1"/>
      <c r="M244" s="1"/>
      <c r="N244" s="1"/>
      <c r="O244" s="1"/>
      <c r="P244" s="22"/>
    </row>
    <row r="245" spans="1:16" ht="15" customHeight="1" x14ac:dyDescent="0.2">
      <c r="A245" s="35"/>
      <c r="B245" s="1"/>
      <c r="C245" s="1"/>
      <c r="D245" s="1"/>
      <c r="E245" s="1"/>
      <c r="F245" s="1"/>
      <c r="G245" s="1"/>
      <c r="H245" s="1"/>
      <c r="I245" s="1"/>
      <c r="J245" s="1"/>
      <c r="K245" s="1"/>
      <c r="L245" s="1"/>
      <c r="M245" s="281" t="s">
        <v>57</v>
      </c>
      <c r="N245" s="1"/>
      <c r="O245" s="1"/>
      <c r="P245" s="22"/>
    </row>
    <row r="246" spans="1:16" ht="15" customHeight="1" x14ac:dyDescent="0.2">
      <c r="A246" s="36"/>
      <c r="B246" s="24"/>
      <c r="C246" s="24"/>
      <c r="D246" s="24"/>
      <c r="E246" s="24"/>
      <c r="F246" s="24"/>
      <c r="G246" s="24"/>
      <c r="H246" s="24"/>
      <c r="I246" s="24"/>
      <c r="J246" s="24"/>
      <c r="K246" s="24"/>
      <c r="L246" s="24"/>
      <c r="M246" s="24"/>
      <c r="N246" s="24"/>
      <c r="O246" s="24"/>
      <c r="P246" s="17"/>
    </row>
    <row r="247" spans="1:16" ht="15" customHeight="1" x14ac:dyDescent="0.2"/>
    <row r="248" spans="1:16" ht="15" customHeight="1" x14ac:dyDescent="0.2"/>
    <row r="249" spans="1:16" ht="15" customHeight="1" x14ac:dyDescent="0.2"/>
    <row r="250" spans="1:16" ht="15" customHeight="1" x14ac:dyDescent="0.2"/>
    <row r="251" spans="1:16" ht="15" customHeight="1" x14ac:dyDescent="0.2"/>
    <row r="252" spans="1:16" ht="15" customHeight="1" x14ac:dyDescent="0.2"/>
    <row r="253" spans="1:16" ht="15" customHeight="1" x14ac:dyDescent="0.2"/>
    <row r="254" spans="1:16" ht="15" customHeight="1" x14ac:dyDescent="0.2"/>
    <row r="255" spans="1:16" ht="15" customHeight="1" x14ac:dyDescent="0.2"/>
    <row r="256" spans="1:16" ht="15" customHeight="1" x14ac:dyDescent="0.2"/>
    <row r="257" spans="1:21" ht="15" customHeight="1" x14ac:dyDescent="0.2"/>
    <row r="258" spans="1:21" ht="15" customHeight="1" x14ac:dyDescent="0.2"/>
    <row r="259" spans="1:21" ht="15" customHeight="1" x14ac:dyDescent="0.2"/>
    <row r="260" spans="1:21" ht="15" customHeight="1" x14ac:dyDescent="0.2"/>
    <row r="261" spans="1:21" ht="15" customHeight="1" x14ac:dyDescent="0.2"/>
    <row r="262" spans="1:21" ht="15" customHeight="1" x14ac:dyDescent="0.2"/>
    <row r="263" spans="1:21" ht="15" customHeight="1" x14ac:dyDescent="0.2"/>
    <row r="264" spans="1:21" ht="15" customHeight="1" x14ac:dyDescent="0.2"/>
    <row r="265" spans="1:21" ht="15" customHeight="1" x14ac:dyDescent="0.2"/>
    <row r="266" spans="1:21" ht="1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row>
    <row r="267" spans="1:21" ht="15" customHeight="1" x14ac:dyDescent="0.2"/>
    <row r="268" spans="1:21" ht="15" customHeight="1" x14ac:dyDescent="0.2"/>
    <row r="269" spans="1:21" ht="15" customHeight="1" x14ac:dyDescent="0.2"/>
    <row r="270" spans="1:21" ht="15" customHeight="1" x14ac:dyDescent="0.2"/>
    <row r="271" spans="1:21" ht="15" customHeight="1" x14ac:dyDescent="0.2"/>
    <row r="272" spans="1:21"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sheetData>
  <pageMargins left="0.2" right="0.2" top="0.5" bottom="0.5" header="0.3" footer="0.3"/>
  <pageSetup scale="81" orientation="landscape"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24C4D-C9BB-4C04-846C-DD861342F17F}">
  <sheetPr transitionEvaluation="1" transitionEntry="1">
    <tabColor theme="6" tint="0.39997558519241921"/>
  </sheetPr>
  <dimension ref="A1:AD404"/>
  <sheetViews>
    <sheetView showGridLines="0" topLeftCell="A166" zoomScale="90" zoomScaleNormal="90" workbookViewId="0">
      <selection activeCell="D185" sqref="D185"/>
    </sheetView>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
      <c r="K1" t="s">
        <v>26</v>
      </c>
      <c r="P1" s="28" t="s">
        <v>362</v>
      </c>
    </row>
    <row r="2" spans="1:30" ht="15" customHeight="1" x14ac:dyDescent="0.2">
      <c r="A2" s="343" t="s">
        <v>472</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row>
    <row r="8" spans="1:30"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30" ht="15" customHeight="1" x14ac:dyDescent="0.2">
      <c r="A9" t="s">
        <v>182</v>
      </c>
      <c r="B9" s="473" t="s">
        <v>667</v>
      </c>
      <c r="C9" s="474"/>
      <c r="D9" s="475"/>
      <c r="E9" s="158"/>
      <c r="F9" s="158"/>
      <c r="G9" s="158"/>
      <c r="H9" s="158"/>
      <c r="I9" s="158"/>
      <c r="J9" s="158"/>
      <c r="K9" s="158"/>
      <c r="L9" s="158"/>
      <c r="O9" s="212" t="s">
        <v>110</v>
      </c>
      <c r="P9" s="213">
        <v>73</v>
      </c>
      <c r="Q9" s="213">
        <v>69</v>
      </c>
      <c r="Y9" s="349"/>
      <c r="Z9" s="349"/>
      <c r="AA9" s="349"/>
      <c r="AB9" s="349"/>
      <c r="AC9" s="349"/>
    </row>
    <row r="10" spans="1:30" ht="15" customHeight="1" x14ac:dyDescent="0.2">
      <c r="A10" t="s">
        <v>182</v>
      </c>
      <c r="B10" s="476" t="s">
        <v>661</v>
      </c>
      <c r="C10" s="440"/>
      <c r="D10" s="477"/>
      <c r="E10" s="158" t="s">
        <v>305</v>
      </c>
      <c r="F10" s="158"/>
      <c r="G10" s="158"/>
      <c r="H10" s="158"/>
      <c r="I10" s="158"/>
      <c r="J10" s="158"/>
      <c r="K10" s="158"/>
      <c r="L10" s="158"/>
      <c r="O10" s="211" t="s">
        <v>109</v>
      </c>
      <c r="P10">
        <f>P8-P9</f>
        <v>4</v>
      </c>
      <c r="Q10">
        <f>Q8-Q9</f>
        <v>4</v>
      </c>
      <c r="Y10" s="349"/>
      <c r="Z10" s="349"/>
      <c r="AA10" s="349"/>
      <c r="AB10" s="349"/>
      <c r="AC10" s="349"/>
    </row>
    <row r="11" spans="1:30" ht="15" customHeight="1" x14ac:dyDescent="0.2">
      <c r="A11" t="s">
        <v>182</v>
      </c>
      <c r="B11" s="476" t="s">
        <v>662</v>
      </c>
      <c r="C11" s="440"/>
      <c r="D11" s="477"/>
      <c r="E11" s="158" t="s">
        <v>663</v>
      </c>
      <c r="F11" s="158"/>
      <c r="G11" s="158"/>
      <c r="H11" s="158"/>
      <c r="I11" s="158"/>
      <c r="J11" s="158"/>
      <c r="K11" s="158"/>
      <c r="L11" s="158"/>
      <c r="Y11" s="349"/>
      <c r="Z11" s="349"/>
      <c r="AA11" s="349"/>
      <c r="AB11" s="349"/>
      <c r="AC11" s="349"/>
    </row>
    <row r="12" spans="1:30" ht="15" customHeight="1" x14ac:dyDescent="0.2">
      <c r="A12" t="s">
        <v>182</v>
      </c>
      <c r="B12" s="476" t="s">
        <v>664</v>
      </c>
      <c r="C12" s="440"/>
      <c r="D12" s="478" t="s">
        <v>665</v>
      </c>
      <c r="E12" s="158"/>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666</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559" t="s">
        <v>425</v>
      </c>
      <c r="M15" s="41"/>
      <c r="U15" s="850" t="s">
        <v>294</v>
      </c>
      <c r="V15" s="851" t="s">
        <v>204</v>
      </c>
      <c r="W15" s="851"/>
      <c r="X15" s="849"/>
      <c r="Y15" s="849"/>
      <c r="Z15" s="849"/>
      <c r="AA15" s="849"/>
      <c r="AB15" s="849"/>
      <c r="AC15" s="849"/>
      <c r="AD15" s="22"/>
    </row>
    <row r="16" spans="1:30" ht="15" customHeight="1" x14ac:dyDescent="0.2">
      <c r="B16" s="209"/>
      <c r="C16" s="40"/>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329"/>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16</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141_77_37_i</v>
      </c>
      <c r="E20" s="40"/>
      <c r="F20" s="339"/>
      <c r="G20" s="40"/>
      <c r="H20" s="40"/>
      <c r="I20" s="40"/>
      <c r="J20" s="40"/>
      <c r="K20" s="40"/>
      <c r="L20" s="40"/>
      <c r="M20" s="41"/>
      <c r="U20" s="852" t="s">
        <v>80</v>
      </c>
      <c r="V20" s="853" t="s">
        <v>293</v>
      </c>
      <c r="W20" s="851"/>
      <c r="X20" s="849"/>
      <c r="Y20" s="849"/>
      <c r="Z20" s="849"/>
      <c r="AA20" s="849"/>
      <c r="AB20" s="849"/>
      <c r="AC20" s="849"/>
      <c r="AD20" s="22"/>
    </row>
    <row r="21" spans="1:30" ht="15" customHeight="1" x14ac:dyDescent="0.2">
      <c r="B21" s="340" t="s">
        <v>668</v>
      </c>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B99" t="s">
        <v>587</v>
      </c>
      <c r="K99" s="2"/>
      <c r="L99" s="751"/>
    </row>
    <row r="100" spans="1:12" ht="15" customHeight="1" x14ac:dyDescent="0.2">
      <c r="A100" s="64" t="s">
        <v>45</v>
      </c>
      <c r="B100" s="64" t="s">
        <v>607</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v>3694</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715">
        <v>28.6</v>
      </c>
      <c r="C108" s="106">
        <v>1</v>
      </c>
      <c r="D108" s="175">
        <v>35.299999999999997</v>
      </c>
      <c r="E108" s="38"/>
    </row>
    <row r="109" spans="1:12" ht="15" customHeight="1" x14ac:dyDescent="0.2">
      <c r="B109" s="716">
        <v>66.2</v>
      </c>
      <c r="C109" s="106">
        <v>2</v>
      </c>
      <c r="D109" s="176">
        <v>64.2</v>
      </c>
      <c r="E109" s="605">
        <f>D109/D108</f>
        <v>1.8186968838526913</v>
      </c>
    </row>
    <row r="110" spans="1:12" ht="15" customHeight="1" x14ac:dyDescent="0.2">
      <c r="B110" s="65">
        <v>88.7</v>
      </c>
      <c r="C110" s="106">
        <v>3</v>
      </c>
      <c r="D110" s="717">
        <v>88.1</v>
      </c>
      <c r="E110" s="605">
        <f t="shared" ref="E110:E112" si="9">D110/D109</f>
        <v>1.3722741433021806</v>
      </c>
    </row>
    <row r="111" spans="1:12" ht="15" customHeight="1" x14ac:dyDescent="0.2">
      <c r="B111" s="65">
        <v>105.4</v>
      </c>
      <c r="C111" s="106">
        <v>4</v>
      </c>
      <c r="D111" s="717">
        <v>107.5</v>
      </c>
      <c r="E111" s="605">
        <f t="shared" si="9"/>
        <v>1.2202043132803633</v>
      </c>
    </row>
    <row r="112" spans="1:12" ht="15" customHeight="1" x14ac:dyDescent="0.2">
      <c r="B112" s="716">
        <v>120.5</v>
      </c>
      <c r="C112" s="106">
        <v>5</v>
      </c>
      <c r="D112" s="176">
        <v>123.1</v>
      </c>
      <c r="E112" s="605">
        <f t="shared" si="9"/>
        <v>1.1451162790697673</v>
      </c>
    </row>
    <row r="113" spans="1:8" ht="15" customHeight="1" x14ac:dyDescent="0.2">
      <c r="B113" s="65">
        <v>186.8</v>
      </c>
      <c r="C113" s="106">
        <v>10</v>
      </c>
      <c r="D113" s="177">
        <v>192.2</v>
      </c>
      <c r="E113" s="605">
        <f>(D113/D112)/5</f>
        <v>0.31226645004061737</v>
      </c>
    </row>
    <row r="114" spans="1:8" ht="15" customHeight="1" x14ac:dyDescent="0.2">
      <c r="B114" s="65">
        <v>308.10000000000002</v>
      </c>
      <c r="C114" s="106">
        <v>20</v>
      </c>
      <c r="D114" s="177">
        <v>309.10000000000002</v>
      </c>
      <c r="E114" s="605">
        <f>(D114/D113)/10</f>
        <v>0.16082206035379815</v>
      </c>
    </row>
    <row r="115" spans="1:8" ht="15" customHeight="1" x14ac:dyDescent="0.2">
      <c r="B115" s="65">
        <v>412.2</v>
      </c>
      <c r="C115" s="106">
        <v>30</v>
      </c>
      <c r="D115" s="177">
        <v>413</v>
      </c>
      <c r="E115" s="605">
        <f t="shared" ref="E115:E117" si="10">(D115/D114)/10</f>
        <v>0.13361371724361046</v>
      </c>
    </row>
    <row r="116" spans="1:8" ht="15" customHeight="1" x14ac:dyDescent="0.2">
      <c r="B116" s="65">
        <v>508.1</v>
      </c>
      <c r="C116" s="106">
        <v>40</v>
      </c>
      <c r="D116" s="177">
        <v>508.6</v>
      </c>
      <c r="E116" s="605">
        <f t="shared" si="10"/>
        <v>0.12314769975786925</v>
      </c>
    </row>
    <row r="117" spans="1:8" ht="15" customHeight="1" x14ac:dyDescent="0.2">
      <c r="B117" s="716">
        <v>601.9</v>
      </c>
      <c r="C117" s="106">
        <v>50</v>
      </c>
      <c r="D117" s="176">
        <v>600.70000000000005</v>
      </c>
      <c r="E117" s="605">
        <f t="shared" si="10"/>
        <v>0.11810853322847033</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9.9999999999995079E-2</v>
      </c>
      <c r="F126" s="408">
        <f>INDEX(LINEST(D$139:D$143,($C$139:$C$143)^{1,2,3}),1)</f>
        <v>7.9166666666667413E-4</v>
      </c>
      <c r="H126" t="s">
        <v>300</v>
      </c>
    </row>
    <row r="127" spans="1:8" ht="15" customHeight="1" x14ac:dyDescent="0.2">
      <c r="E127" s="409">
        <f>INDEX(LINEST(D$134:D$138,($C$134:$C$138)^{1,2,3}),2)</f>
        <v>-3.1214285714285221</v>
      </c>
      <c r="F127" s="408">
        <f>INDEX(LINEST(D$139:D$143,($C$139:$C$143)^{1,2,3}),2)</f>
        <v>-0.1126071428571435</v>
      </c>
      <c r="H127" t="s">
        <v>301</v>
      </c>
    </row>
    <row r="128" spans="1:8" ht="15" customHeight="1" x14ac:dyDescent="0.2">
      <c r="E128" s="409">
        <f>INDEX(LINEST(D$134:D$138,($C$134:$C$138)^{1,2,3}),3)</f>
        <v>37.578571428571287</v>
      </c>
      <c r="F128" s="408">
        <f>INDEX(LINEST(D$139:D$143,($C$139:$C$143)^{1,2,3}),3)</f>
        <v>14.514761904761921</v>
      </c>
    </row>
    <row r="129" spans="1:11" ht="15" customHeight="1" x14ac:dyDescent="0.2">
      <c r="E129" s="409">
        <f>INDEX(LINEST(D$134:D$138,($C$134:$C$138)^{1,2,3}),4)</f>
        <v>0.74000000000010946</v>
      </c>
      <c r="F129" s="408">
        <f>INDEX(LINEST(D$139:D$143,($C$139:$C$143)^{1,2,3}),4)</f>
        <v>57.519999999999918</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35.299999999999997</v>
      </c>
      <c r="E134" s="114">
        <f>(E$126*($C134)^3)+(E$127*($C134)^2)+(E$128*($C134)^1)+(E$129)</f>
        <v>35.297142857142866</v>
      </c>
      <c r="F134" s="2"/>
      <c r="H134" s="106">
        <v>1</v>
      </c>
      <c r="I134" s="393">
        <f>E134</f>
        <v>35.297142857142866</v>
      </c>
      <c r="J134" s="109">
        <f>B108</f>
        <v>28.6</v>
      </c>
      <c r="K134" s="410">
        <f>I134-J134</f>
        <v>6.6971428571428646</v>
      </c>
    </row>
    <row r="135" spans="1:11" ht="15" customHeight="1" x14ac:dyDescent="0.2">
      <c r="C135" s="106">
        <v>2</v>
      </c>
      <c r="D135" s="110">
        <f t="shared" ref="D135:D143" si="11">D109</f>
        <v>64.2</v>
      </c>
      <c r="E135" s="114">
        <f>(E$126*($C135)^3)+(E$127*($C135)^2)+(E$128*($C135)^1)+(E$129)</f>
        <v>64.211428571428556</v>
      </c>
      <c r="F135" s="2"/>
      <c r="H135" s="106">
        <v>2</v>
      </c>
      <c r="I135" s="393">
        <f t="shared" ref="I135:I138" si="12">E135</f>
        <v>64.211428571428556</v>
      </c>
      <c r="J135" s="110">
        <f t="shared" ref="J135:J143" si="13">B109</f>
        <v>66.2</v>
      </c>
      <c r="K135" s="411">
        <f t="shared" ref="K135:K143" si="14">I135-J135</f>
        <v>-1.9885714285714471</v>
      </c>
    </row>
    <row r="136" spans="1:11" ht="15" customHeight="1" x14ac:dyDescent="0.2">
      <c r="B136" s="28" t="s">
        <v>308</v>
      </c>
      <c r="C136" s="106">
        <v>3</v>
      </c>
      <c r="D136" s="105">
        <f t="shared" si="11"/>
        <v>88.1</v>
      </c>
      <c r="E136" s="114">
        <f t="shared" ref="E136:E138" si="15">(E$126*($C136)^3)+(E$127*($C136)^2)+(E$128*($C136)^1)+(E$129)</f>
        <v>88.082857142857151</v>
      </c>
      <c r="F136" s="2"/>
      <c r="H136" s="106">
        <v>3</v>
      </c>
      <c r="I136" s="393">
        <f t="shared" si="12"/>
        <v>88.082857142857151</v>
      </c>
      <c r="J136" s="105">
        <f t="shared" si="13"/>
        <v>88.7</v>
      </c>
      <c r="K136" s="412">
        <f t="shared" si="14"/>
        <v>-0.61714285714285211</v>
      </c>
    </row>
    <row r="137" spans="1:11" ht="15" customHeight="1" x14ac:dyDescent="0.2">
      <c r="C137" s="106">
        <v>4</v>
      </c>
      <c r="D137" s="105">
        <f t="shared" si="11"/>
        <v>107.5</v>
      </c>
      <c r="E137" s="114">
        <f t="shared" si="15"/>
        <v>107.5114285714286</v>
      </c>
      <c r="F137" s="2"/>
      <c r="H137" s="106">
        <v>4</v>
      </c>
      <c r="I137" s="393">
        <f t="shared" si="12"/>
        <v>107.5114285714286</v>
      </c>
      <c r="J137" s="105">
        <f t="shared" si="13"/>
        <v>105.4</v>
      </c>
      <c r="K137" s="412">
        <f t="shared" si="14"/>
        <v>2.1114285714285899</v>
      </c>
    </row>
    <row r="138" spans="1:11" ht="15" customHeight="1" x14ac:dyDescent="0.2">
      <c r="C138" s="106">
        <v>5</v>
      </c>
      <c r="D138" s="110">
        <f t="shared" si="11"/>
        <v>123.1</v>
      </c>
      <c r="E138" s="114">
        <f t="shared" si="15"/>
        <v>123.09714285714287</v>
      </c>
      <c r="F138" s="2"/>
      <c r="H138" s="106">
        <v>5</v>
      </c>
      <c r="I138" s="393">
        <f t="shared" si="12"/>
        <v>123.09714285714287</v>
      </c>
      <c r="J138" s="110">
        <f t="shared" si="13"/>
        <v>120.5</v>
      </c>
      <c r="K138" s="411">
        <f t="shared" si="14"/>
        <v>2.5971428571428703</v>
      </c>
    </row>
    <row r="139" spans="1:11" ht="15" customHeight="1" x14ac:dyDescent="0.2">
      <c r="C139" s="106">
        <v>10</v>
      </c>
      <c r="D139" s="105">
        <f t="shared" si="11"/>
        <v>192.2</v>
      </c>
      <c r="E139" s="416"/>
      <c r="F139" s="115">
        <f>(F$126*($C139)^3)+(F$127*($C139)^2)+(F$128*($C139)^1)+(F$129)</f>
        <v>192.19857142857146</v>
      </c>
      <c r="H139" s="106">
        <v>10</v>
      </c>
      <c r="I139" s="393">
        <f>F139</f>
        <v>192.19857142857146</v>
      </c>
      <c r="J139" s="105">
        <f t="shared" si="13"/>
        <v>186.8</v>
      </c>
      <c r="K139" s="412">
        <f t="shared" si="14"/>
        <v>5.3985714285714437</v>
      </c>
    </row>
    <row r="140" spans="1:11" ht="15" customHeight="1" x14ac:dyDescent="0.2">
      <c r="C140" s="106">
        <v>20</v>
      </c>
      <c r="D140" s="105">
        <f t="shared" si="11"/>
        <v>309.10000000000002</v>
      </c>
      <c r="E140" s="2"/>
      <c r="F140" s="115">
        <f t="shared" ref="F140:F143" si="16">(F$126*($C140)^3)+(F$127*($C140)^2)+(F$128*($C140)^1)+(F$129)</f>
        <v>309.10571428571433</v>
      </c>
      <c r="H140" s="106">
        <v>20</v>
      </c>
      <c r="I140" s="393">
        <f t="shared" ref="I140:I143" si="17">F140</f>
        <v>309.10571428571433</v>
      </c>
      <c r="J140" s="105">
        <f t="shared" si="13"/>
        <v>308.10000000000002</v>
      </c>
      <c r="K140" s="412">
        <f t="shared" si="14"/>
        <v>1.0057142857143049</v>
      </c>
    </row>
    <row r="141" spans="1:11" ht="15" customHeight="1" x14ac:dyDescent="0.2">
      <c r="B141" s="28" t="s">
        <v>297</v>
      </c>
      <c r="C141" s="106">
        <v>30</v>
      </c>
      <c r="D141" s="105">
        <f t="shared" si="11"/>
        <v>413</v>
      </c>
      <c r="E141" s="2"/>
      <c r="F141" s="115">
        <f t="shared" si="16"/>
        <v>412.99142857142857</v>
      </c>
      <c r="H141" s="106">
        <v>30</v>
      </c>
      <c r="I141" s="393">
        <f t="shared" si="17"/>
        <v>412.99142857142857</v>
      </c>
      <c r="J141" s="105">
        <f t="shared" si="13"/>
        <v>412.2</v>
      </c>
      <c r="K141" s="412">
        <f t="shared" si="14"/>
        <v>0.79142857142858247</v>
      </c>
    </row>
    <row r="142" spans="1:11" ht="15" customHeight="1" x14ac:dyDescent="0.2">
      <c r="C142" s="106">
        <v>40</v>
      </c>
      <c r="D142" s="105">
        <f t="shared" si="11"/>
        <v>508.6</v>
      </c>
      <c r="E142" s="2"/>
      <c r="F142" s="115">
        <f t="shared" si="16"/>
        <v>508.60571428571427</v>
      </c>
      <c r="H142" s="106">
        <v>40</v>
      </c>
      <c r="I142" s="393">
        <f t="shared" si="17"/>
        <v>508.60571428571427</v>
      </c>
      <c r="J142" s="105">
        <f t="shared" si="13"/>
        <v>508.1</v>
      </c>
      <c r="K142" s="412">
        <f t="shared" si="14"/>
        <v>0.50571428571424804</v>
      </c>
    </row>
    <row r="143" spans="1:11" ht="15" customHeight="1" x14ac:dyDescent="0.2">
      <c r="C143" s="106">
        <v>50</v>
      </c>
      <c r="D143" s="110">
        <f t="shared" si="11"/>
        <v>600.70000000000005</v>
      </c>
      <c r="E143" s="2"/>
      <c r="F143" s="115">
        <f t="shared" si="16"/>
        <v>600.69857142857143</v>
      </c>
      <c r="H143" s="106">
        <v>50</v>
      </c>
      <c r="I143" s="394">
        <f t="shared" si="17"/>
        <v>600.69857142857143</v>
      </c>
      <c r="J143" s="110">
        <f t="shared" si="13"/>
        <v>601.9</v>
      </c>
      <c r="K143" s="411">
        <f t="shared" si="14"/>
        <v>-1.2014285714285506</v>
      </c>
    </row>
    <row r="144" spans="1:11" ht="15" customHeight="1" x14ac:dyDescent="0.2">
      <c r="I144" s="38"/>
    </row>
    <row r="145" spans="1:25" ht="15" customHeight="1" x14ac:dyDescent="0.2">
      <c r="D145" s="602">
        <f>D135/D134</f>
        <v>1.8186968838526913</v>
      </c>
      <c r="E145" s="603">
        <f>D138/D135</f>
        <v>1.9174454828660434</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M150" t="s">
        <v>587</v>
      </c>
      <c r="O150" t="s">
        <v>625</v>
      </c>
      <c r="S150" t="s">
        <v>587</v>
      </c>
      <c r="U150" t="s">
        <v>624</v>
      </c>
    </row>
    <row r="151" spans="1:25" ht="15" customHeight="1" x14ac:dyDescent="0.2">
      <c r="A151" s="64"/>
      <c r="B151" s="56" t="s">
        <v>611</v>
      </c>
      <c r="M151" s="64" t="s">
        <v>580</v>
      </c>
    </row>
    <row r="152" spans="1:25" ht="15" customHeight="1" x14ac:dyDescent="0.2">
      <c r="I152" s="38"/>
      <c r="J152" s="764" t="s">
        <v>490</v>
      </c>
      <c r="K152" s="251"/>
      <c r="L152" s="765" t="s">
        <v>623</v>
      </c>
      <c r="U152" s="844" t="s">
        <v>579</v>
      </c>
    </row>
    <row r="153" spans="1:25" ht="15" customHeight="1" x14ac:dyDescent="0.2">
      <c r="E153" t="s">
        <v>612</v>
      </c>
      <c r="G153" s="368"/>
      <c r="H153" s="369" t="s">
        <v>35</v>
      </c>
      <c r="I153" s="38"/>
      <c r="J153" s="727"/>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906" t="s">
        <v>669</v>
      </c>
    </row>
    <row r="155" spans="1:25" ht="15" customHeight="1" x14ac:dyDescent="0.2">
      <c r="B155" s="133"/>
      <c r="C155" s="117" t="s">
        <v>32</v>
      </c>
      <c r="D155" s="392" t="s">
        <v>33</v>
      </c>
      <c r="E155" s="392" t="s">
        <v>35</v>
      </c>
      <c r="F155" s="521" t="s">
        <v>577</v>
      </c>
      <c r="G155" s="370" t="s">
        <v>35</v>
      </c>
      <c r="H155" s="371" t="s">
        <v>286</v>
      </c>
      <c r="J155" s="483" t="str">
        <f>I57</f>
        <v xml:space="preserve"> 15-15-15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40.592142857142868</v>
      </c>
      <c r="D157" s="119">
        <f t="shared" ref="D157:D166" si="18">I134</f>
        <v>35.297142857142866</v>
      </c>
      <c r="E157" s="118">
        <v>5.2949999999999999</v>
      </c>
      <c r="F157" s="152">
        <f>E157/D157</f>
        <v>0.1500121418164157</v>
      </c>
      <c r="G157" s="374">
        <f t="shared" ref="G157:G166" si="19">G30</f>
        <v>0.9</v>
      </c>
      <c r="H157" s="375">
        <f>E157-G157</f>
        <v>4.3949999999999996</v>
      </c>
      <c r="J157" s="402">
        <f>I59</f>
        <v>0.15</v>
      </c>
      <c r="K157" s="150">
        <f>J157-F157</f>
        <v>-1.2141816415706108E-5</v>
      </c>
      <c r="M157" s="402">
        <f>C157/D157</f>
        <v>1.1500121418164158</v>
      </c>
      <c r="N157" s="143">
        <f>D157*M157</f>
        <v>40.592142857142868</v>
      </c>
      <c r="O157" s="287">
        <f t="shared" ref="O157:O166" si="20">N157-C157</f>
        <v>0</v>
      </c>
      <c r="P157" s="288">
        <f t="shared" ref="P157:P166" si="21">J157/F157</f>
        <v>0.99991906110886297</v>
      </c>
      <c r="Q157" s="289">
        <f t="shared" ref="Q157:Q166" si="22">P157*E157</f>
        <v>5.2945714285714294</v>
      </c>
      <c r="R157" s="267" t="s">
        <v>200</v>
      </c>
      <c r="U157" s="152">
        <f>E157/D157</f>
        <v>0.1500121418164157</v>
      </c>
      <c r="Y157">
        <f>1.6/1.99</f>
        <v>0.8040201005025126</v>
      </c>
    </row>
    <row r="158" spans="1:25" ht="15" customHeight="1" x14ac:dyDescent="0.2">
      <c r="A158" s="118">
        <v>1.6</v>
      </c>
      <c r="B158" s="106">
        <v>2</v>
      </c>
      <c r="C158" s="120">
        <f t="shared" ref="C158:C166" si="23">D158+E158</f>
        <v>73.844428571428551</v>
      </c>
      <c r="D158" s="120">
        <f t="shared" si="18"/>
        <v>64.211428571428556</v>
      </c>
      <c r="E158" s="118">
        <v>9.6329999999999991</v>
      </c>
      <c r="F158" s="153">
        <f t="shared" ref="F158:F166" si="24">E158/D158</f>
        <v>0.15002002313784821</v>
      </c>
      <c r="G158" s="376">
        <f t="shared" si="19"/>
        <v>1.6</v>
      </c>
      <c r="H158" s="377">
        <f t="shared" ref="H158:H166" si="25">E158-G158</f>
        <v>8.0329999999999995</v>
      </c>
      <c r="J158" s="402">
        <f t="shared" ref="J158:J162" si="26">I60</f>
        <v>0.15</v>
      </c>
      <c r="K158" s="150">
        <f t="shared" ref="K158:K165" si="27">J158-F158</f>
        <v>-2.0023137848212968E-5</v>
      </c>
      <c r="M158" s="402">
        <f t="shared" ref="M158:M166" si="28">C158/D158</f>
        <v>1.1500200231378481</v>
      </c>
      <c r="N158" s="144">
        <f t="shared" ref="N158:N166" si="29">D158*M158</f>
        <v>73.844428571428551</v>
      </c>
      <c r="O158" s="287">
        <f t="shared" si="20"/>
        <v>0</v>
      </c>
      <c r="P158" s="288">
        <f t="shared" si="21"/>
        <v>0.99986653023090244</v>
      </c>
      <c r="Q158" s="290">
        <f t="shared" si="22"/>
        <v>9.631714285714283</v>
      </c>
      <c r="R158" s="267" t="s">
        <v>312</v>
      </c>
      <c r="U158" s="152">
        <f t="shared" ref="U158:U166" si="30">E158/D158</f>
        <v>0.15002002313784821</v>
      </c>
    </row>
    <row r="159" spans="1:25" ht="15" customHeight="1" x14ac:dyDescent="0.2">
      <c r="A159" s="118">
        <v>2.6</v>
      </c>
      <c r="B159" s="106">
        <v>3</v>
      </c>
      <c r="C159" s="121">
        <f t="shared" si="23"/>
        <v>101.29285714285714</v>
      </c>
      <c r="D159" s="121">
        <f t="shared" si="18"/>
        <v>88.082857142857151</v>
      </c>
      <c r="E159" s="118">
        <v>13.21</v>
      </c>
      <c r="F159" s="154">
        <f t="shared" si="24"/>
        <v>0.14997242855752699</v>
      </c>
      <c r="G159" s="378">
        <f t="shared" si="19"/>
        <v>2.6</v>
      </c>
      <c r="H159" s="379">
        <f t="shared" si="25"/>
        <v>10.610000000000001</v>
      </c>
      <c r="J159" s="402">
        <f t="shared" si="26"/>
        <v>0.15</v>
      </c>
      <c r="K159" s="150">
        <f t="shared" si="27"/>
        <v>2.7571442473006691E-5</v>
      </c>
      <c r="M159" s="402">
        <f t="shared" si="28"/>
        <v>1.149972428557527</v>
      </c>
      <c r="N159" s="145">
        <f t="shared" si="29"/>
        <v>101.29285714285716</v>
      </c>
      <c r="O159" s="287">
        <f t="shared" si="20"/>
        <v>0</v>
      </c>
      <c r="P159" s="288">
        <f t="shared" si="21"/>
        <v>1.0001838434086732</v>
      </c>
      <c r="Q159" s="288">
        <f t="shared" si="22"/>
        <v>13.212428571428573</v>
      </c>
      <c r="R159" s="267" t="s">
        <v>143</v>
      </c>
      <c r="U159" s="152">
        <f t="shared" si="30"/>
        <v>0.14997242855752699</v>
      </c>
    </row>
    <row r="160" spans="1:25" ht="15" customHeight="1" x14ac:dyDescent="0.2">
      <c r="A160" s="118">
        <v>3.8</v>
      </c>
      <c r="B160" s="106">
        <v>4</v>
      </c>
      <c r="C160" s="121">
        <f t="shared" si="23"/>
        <v>123.6434285714286</v>
      </c>
      <c r="D160" s="121">
        <f t="shared" si="18"/>
        <v>107.5114285714286</v>
      </c>
      <c r="E160" s="118">
        <v>16.132000000000001</v>
      </c>
      <c r="F160" s="154">
        <f t="shared" si="24"/>
        <v>0.15004916420845624</v>
      </c>
      <c r="G160" s="378">
        <f t="shared" si="19"/>
        <v>3.8</v>
      </c>
      <c r="H160" s="379">
        <f t="shared" si="25"/>
        <v>12.332000000000001</v>
      </c>
      <c r="J160" s="402">
        <f t="shared" si="26"/>
        <v>0.15</v>
      </c>
      <c r="K160" s="150">
        <f t="shared" si="27"/>
        <v>-4.9164208456242697E-5</v>
      </c>
      <c r="M160" s="402">
        <f t="shared" si="28"/>
        <v>1.1500491642084563</v>
      </c>
      <c r="N160" s="145">
        <f t="shared" si="29"/>
        <v>123.6434285714286</v>
      </c>
      <c r="O160" s="287">
        <f t="shared" si="20"/>
        <v>0</v>
      </c>
      <c r="P160" s="288">
        <f t="shared" si="21"/>
        <v>0.99967234600262123</v>
      </c>
      <c r="Q160" s="288">
        <f t="shared" si="22"/>
        <v>16.126714285714286</v>
      </c>
      <c r="R160" s="88" t="s">
        <v>142</v>
      </c>
      <c r="U160" s="152">
        <f t="shared" si="30"/>
        <v>0.15004916420845624</v>
      </c>
    </row>
    <row r="161" spans="1:25" ht="15" customHeight="1" x14ac:dyDescent="0.2">
      <c r="A161" s="118">
        <v>5.0999999999999996</v>
      </c>
      <c r="B161" s="106">
        <v>5</v>
      </c>
      <c r="C161" s="120">
        <f t="shared" si="23"/>
        <v>141.55714285714288</v>
      </c>
      <c r="D161" s="120">
        <f t="shared" si="18"/>
        <v>123.09714285714287</v>
      </c>
      <c r="E161" s="118">
        <v>18.46</v>
      </c>
      <c r="F161" s="153">
        <f t="shared" si="24"/>
        <v>0.14996286324389563</v>
      </c>
      <c r="G161" s="376">
        <f t="shared" si="19"/>
        <v>5.0999999999999996</v>
      </c>
      <c r="H161" s="377">
        <f t="shared" si="25"/>
        <v>13.360000000000001</v>
      </c>
      <c r="J161" s="402">
        <f t="shared" si="26"/>
        <v>0.15</v>
      </c>
      <c r="K161" s="150">
        <f t="shared" si="27"/>
        <v>3.713675610436673E-5</v>
      </c>
      <c r="M161" s="402">
        <f t="shared" si="28"/>
        <v>1.1499628632438956</v>
      </c>
      <c r="N161" s="144">
        <f t="shared" si="29"/>
        <v>141.55714285714288</v>
      </c>
      <c r="O161" s="287">
        <f t="shared" si="20"/>
        <v>0</v>
      </c>
      <c r="P161" s="288">
        <f t="shared" si="21"/>
        <v>1.0002476396842594</v>
      </c>
      <c r="Q161" s="290">
        <f t="shared" si="22"/>
        <v>18.464571428571432</v>
      </c>
      <c r="U161" s="152">
        <f t="shared" si="30"/>
        <v>0.14996286324389563</v>
      </c>
      <c r="Y161">
        <f>0.9/0.75</f>
        <v>1.2</v>
      </c>
    </row>
    <row r="162" spans="1:25" ht="15" customHeight="1" x14ac:dyDescent="0.2">
      <c r="A162" s="118">
        <v>15.1</v>
      </c>
      <c r="B162" s="106">
        <v>10</v>
      </c>
      <c r="C162" s="121">
        <f t="shared" si="23"/>
        <v>221.02857142857147</v>
      </c>
      <c r="D162" s="121">
        <f t="shared" si="18"/>
        <v>192.19857142857146</v>
      </c>
      <c r="E162" s="118">
        <v>28.83</v>
      </c>
      <c r="F162" s="154">
        <f t="shared" si="24"/>
        <v>0.15000111491835078</v>
      </c>
      <c r="G162" s="378">
        <f t="shared" si="19"/>
        <v>15.1</v>
      </c>
      <c r="H162" s="379">
        <f t="shared" si="25"/>
        <v>13.729999999999999</v>
      </c>
      <c r="J162" s="402">
        <f t="shared" si="26"/>
        <v>0.15</v>
      </c>
      <c r="K162" s="150">
        <f>J162-F162</f>
        <v>-1.1149183507808136E-6</v>
      </c>
      <c r="M162" s="402">
        <f t="shared" si="28"/>
        <v>1.1500011149183509</v>
      </c>
      <c r="N162" s="145">
        <f t="shared" si="29"/>
        <v>221.02857142857147</v>
      </c>
      <c r="O162" s="287">
        <f t="shared" si="20"/>
        <v>0</v>
      </c>
      <c r="P162" s="288">
        <f t="shared" si="21"/>
        <v>0.99999256726624075</v>
      </c>
      <c r="Q162" s="288">
        <f t="shared" si="22"/>
        <v>28.82978571428572</v>
      </c>
      <c r="U162" s="152">
        <f t="shared" si="30"/>
        <v>0.15000111491835078</v>
      </c>
    </row>
    <row r="163" spans="1:25" ht="15" customHeight="1" x14ac:dyDescent="0.2">
      <c r="A163" s="118">
        <v>44</v>
      </c>
      <c r="B163" s="106">
        <v>20</v>
      </c>
      <c r="C163" s="121">
        <f t="shared" si="23"/>
        <v>355.48571428571432</v>
      </c>
      <c r="D163" s="121">
        <f t="shared" si="18"/>
        <v>309.10571428571433</v>
      </c>
      <c r="E163" s="118">
        <v>46.38</v>
      </c>
      <c r="F163" s="154">
        <f t="shared" si="24"/>
        <v>0.15004575411093754</v>
      </c>
      <c r="G163" s="378">
        <f t="shared" si="19"/>
        <v>44</v>
      </c>
      <c r="H163" s="379">
        <f t="shared" si="25"/>
        <v>2.3800000000000026</v>
      </c>
      <c r="J163" s="402">
        <f t="shared" ref="J163:J166" si="31">C65</f>
        <v>0.15</v>
      </c>
      <c r="K163" s="150">
        <f t="shared" si="27"/>
        <v>-4.5754110937545889E-5</v>
      </c>
      <c r="M163" s="402">
        <f t="shared" si="28"/>
        <v>1.1500457541109375</v>
      </c>
      <c r="N163" s="145">
        <f t="shared" si="29"/>
        <v>355.48571428571432</v>
      </c>
      <c r="O163" s="287">
        <f t="shared" si="20"/>
        <v>0</v>
      </c>
      <c r="P163" s="288">
        <f t="shared" si="21"/>
        <v>0.99969506560709664</v>
      </c>
      <c r="Q163" s="288">
        <f t="shared" si="22"/>
        <v>46.365857142857145</v>
      </c>
      <c r="U163" s="152">
        <f t="shared" si="30"/>
        <v>0.15004575411093754</v>
      </c>
    </row>
    <row r="164" spans="1:25" ht="15" customHeight="1" x14ac:dyDescent="0.2">
      <c r="A164" s="118">
        <v>63.1</v>
      </c>
      <c r="B164" s="106">
        <v>30</v>
      </c>
      <c r="C164" s="121">
        <f>D164+E164</f>
        <v>474.94142857142856</v>
      </c>
      <c r="D164" s="121">
        <f t="shared" si="18"/>
        <v>412.99142857142857</v>
      </c>
      <c r="E164" s="118">
        <v>61.95</v>
      </c>
      <c r="F164" s="154">
        <f t="shared" si="24"/>
        <v>0.15000311317426165</v>
      </c>
      <c r="G164" s="378">
        <f t="shared" si="19"/>
        <v>63.1</v>
      </c>
      <c r="H164" s="379">
        <f t="shared" si="25"/>
        <v>-1.1499999999999986</v>
      </c>
      <c r="J164" s="402">
        <f t="shared" si="31"/>
        <v>0.15</v>
      </c>
      <c r="K164" s="150">
        <f t="shared" si="27"/>
        <v>-3.1131742616596902E-6</v>
      </c>
      <c r="M164" s="402">
        <f t="shared" si="28"/>
        <v>1.1500031131742616</v>
      </c>
      <c r="N164" s="145">
        <f t="shared" si="29"/>
        <v>474.94142857142856</v>
      </c>
      <c r="O164" s="287">
        <f t="shared" si="20"/>
        <v>0</v>
      </c>
      <c r="P164" s="288">
        <f t="shared" si="21"/>
        <v>0.99997924593566234</v>
      </c>
      <c r="Q164" s="288">
        <f t="shared" si="22"/>
        <v>61.948714285714281</v>
      </c>
      <c r="U164" s="152">
        <f t="shared" si="30"/>
        <v>0.15000311317426165</v>
      </c>
    </row>
    <row r="165" spans="1:25" ht="15" customHeight="1" x14ac:dyDescent="0.2">
      <c r="A165" s="118">
        <v>78.8</v>
      </c>
      <c r="B165" s="106">
        <v>40</v>
      </c>
      <c r="C165" s="121">
        <f t="shared" si="23"/>
        <v>584.90571428571423</v>
      </c>
      <c r="D165" s="121">
        <f t="shared" si="18"/>
        <v>508.60571428571427</v>
      </c>
      <c r="E165" s="118">
        <v>76.3</v>
      </c>
      <c r="F165" s="154">
        <f t="shared" si="24"/>
        <v>0.15001797631620339</v>
      </c>
      <c r="G165" s="378">
        <f t="shared" si="19"/>
        <v>78.8</v>
      </c>
      <c r="H165" s="379">
        <f t="shared" si="25"/>
        <v>-2.5</v>
      </c>
      <c r="J165" s="402">
        <f t="shared" si="31"/>
        <v>0.15</v>
      </c>
      <c r="K165" s="150">
        <f t="shared" si="27"/>
        <v>-1.7976316203399678E-5</v>
      </c>
      <c r="M165" s="402">
        <f t="shared" si="28"/>
        <v>1.1500179763162033</v>
      </c>
      <c r="N165" s="145">
        <f t="shared" si="29"/>
        <v>584.90571428571423</v>
      </c>
      <c r="O165" s="287">
        <f t="shared" si="20"/>
        <v>0</v>
      </c>
      <c r="P165" s="288">
        <f t="shared" si="21"/>
        <v>0.99988017225238723</v>
      </c>
      <c r="Q165" s="288">
        <f t="shared" si="22"/>
        <v>76.290857142857149</v>
      </c>
      <c r="U165" s="152">
        <f t="shared" si="30"/>
        <v>0.15001797631620339</v>
      </c>
    </row>
    <row r="166" spans="1:25" ht="15" customHeight="1" x14ac:dyDescent="0.2">
      <c r="A166" s="118">
        <v>93.8</v>
      </c>
      <c r="B166" s="106">
        <v>50</v>
      </c>
      <c r="C166" s="120">
        <f t="shared" si="23"/>
        <v>690.79857142857145</v>
      </c>
      <c r="D166" s="120">
        <f t="shared" si="18"/>
        <v>600.69857142857143</v>
      </c>
      <c r="E166" s="118">
        <v>90.1</v>
      </c>
      <c r="F166" s="153">
        <f t="shared" si="24"/>
        <v>0.14999203308528877</v>
      </c>
      <c r="G166" s="380">
        <f t="shared" si="19"/>
        <v>93.8</v>
      </c>
      <c r="H166" s="381">
        <f t="shared" si="25"/>
        <v>-3.7000000000000028</v>
      </c>
      <c r="J166" s="403">
        <f t="shared" si="31"/>
        <v>0.15</v>
      </c>
      <c r="K166" s="151">
        <f>J166-F166</f>
        <v>7.9669147112215732E-6</v>
      </c>
      <c r="M166" s="403">
        <f t="shared" si="28"/>
        <v>1.1499920330852889</v>
      </c>
      <c r="N166" s="146">
        <f t="shared" si="29"/>
        <v>690.79857142857145</v>
      </c>
      <c r="O166" s="287">
        <f t="shared" si="20"/>
        <v>0</v>
      </c>
      <c r="P166" s="288">
        <f t="shared" si="21"/>
        <v>1.0000531155858572</v>
      </c>
      <c r="Q166" s="290">
        <f t="shared" si="22"/>
        <v>90.104785714285725</v>
      </c>
      <c r="U166" s="152">
        <f t="shared" si="30"/>
        <v>0.14999203308528877</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5" customHeight="1" x14ac:dyDescent="0.2">
      <c r="A174" s="90"/>
      <c r="B174" s="28" t="s">
        <v>191</v>
      </c>
      <c r="I174" s="38"/>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
      <c r="D180" s="214" t="s">
        <v>163</v>
      </c>
      <c r="I180" s="38"/>
      <c r="P180" s="804" t="s">
        <v>540</v>
      </c>
    </row>
    <row r="181" spans="2:26" ht="15" customHeight="1" x14ac:dyDescent="0.2">
      <c r="C181" s="27" t="s">
        <v>457</v>
      </c>
      <c r="F181" s="38"/>
      <c r="G181" s="38"/>
      <c r="H181" s="38"/>
      <c r="I181" s="38"/>
      <c r="J181" s="359" t="s">
        <v>269</v>
      </c>
      <c r="K181" s="214"/>
      <c r="L181" s="214"/>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15-15-15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6" ht="15" customHeight="1" x14ac:dyDescent="0.2">
      <c r="B185" s="106">
        <v>1</v>
      </c>
      <c r="C185" s="119">
        <f>(D185-J185)</f>
        <v>55.592142857142875</v>
      </c>
      <c r="D185" s="698">
        <f>(F185+G185+M185+L185)+$E$179</f>
        <v>133.59214285714287</v>
      </c>
      <c r="E185" s="119">
        <f>F185+G185</f>
        <v>40.592142857142868</v>
      </c>
      <c r="F185" s="119">
        <f t="shared" ref="F185:G194" si="32">D157</f>
        <v>35.297142857142866</v>
      </c>
      <c r="G185" s="175">
        <f t="shared" si="32"/>
        <v>5.2949999999999999</v>
      </c>
      <c r="H185" s="155">
        <f>G185/F185</f>
        <v>0.1500121418164157</v>
      </c>
      <c r="I185" s="119">
        <f t="shared" ref="I185:I194" si="33">O185</f>
        <v>82</v>
      </c>
      <c r="J185" s="497">
        <v>78</v>
      </c>
      <c r="K185" s="690">
        <v>4</v>
      </c>
      <c r="L185" s="507">
        <f>P185</f>
        <v>11</v>
      </c>
      <c r="M185" s="497">
        <v>82</v>
      </c>
      <c r="O185" s="417">
        <v>82</v>
      </c>
      <c r="P185" s="766">
        <v>11</v>
      </c>
      <c r="Q185" s="422">
        <v>109</v>
      </c>
      <c r="R185" s="432">
        <f>D185-Q185</f>
        <v>24.592142857142875</v>
      </c>
      <c r="S185" s="433">
        <f t="shared" ref="S185:S194" si="34">G185-G30</f>
        <v>4.3949999999999996</v>
      </c>
      <c r="T185" s="420">
        <v>13.9</v>
      </c>
      <c r="W185">
        <v>42</v>
      </c>
      <c r="X185">
        <v>37</v>
      </c>
    </row>
    <row r="186" spans="2:26" ht="15" customHeight="1" x14ac:dyDescent="0.2">
      <c r="B186" s="106">
        <v>2</v>
      </c>
      <c r="C186" s="120">
        <f t="shared" ref="C186:C193" si="35">(D186-J186)</f>
        <v>88.844428571428551</v>
      </c>
      <c r="D186" s="699">
        <f t="shared" ref="D186:D193" si="36">(F186+G186+M186+L186)+$E$179</f>
        <v>166.84442857142855</v>
      </c>
      <c r="E186" s="120">
        <f t="shared" ref="E186:E191" si="37">F186+G186</f>
        <v>73.844428571428551</v>
      </c>
      <c r="F186" s="120">
        <f t="shared" si="32"/>
        <v>64.211428571428556</v>
      </c>
      <c r="G186" s="176">
        <f t="shared" si="32"/>
        <v>9.6329999999999991</v>
      </c>
      <c r="H186" s="156">
        <f t="shared" ref="H186:H194" si="38">G186/F186</f>
        <v>0.15002002313784821</v>
      </c>
      <c r="I186" s="120">
        <f t="shared" si="33"/>
        <v>82</v>
      </c>
      <c r="J186" s="695">
        <f>J185</f>
        <v>78</v>
      </c>
      <c r="K186" s="691">
        <v>4</v>
      </c>
      <c r="L186" s="506">
        <f>L185</f>
        <v>11</v>
      </c>
      <c r="M186" s="242">
        <v>82</v>
      </c>
      <c r="O186" s="242">
        <v>82</v>
      </c>
      <c r="P186" s="419">
        <v>5.0999999999999996</v>
      </c>
      <c r="Q186" s="423">
        <v>148</v>
      </c>
      <c r="R186" s="434">
        <f t="shared" ref="R186:R194" si="39">D186-Q186</f>
        <v>18.844428571428551</v>
      </c>
      <c r="S186" s="435">
        <f t="shared" si="34"/>
        <v>8.0329999999999995</v>
      </c>
      <c r="W186">
        <v>57</v>
      </c>
      <c r="X186">
        <v>56</v>
      </c>
    </row>
    <row r="187" spans="2:26" ht="15" customHeight="1" x14ac:dyDescent="0.2">
      <c r="B187" s="106">
        <v>3</v>
      </c>
      <c r="C187" s="121">
        <f t="shared" si="35"/>
        <v>116.29285714285714</v>
      </c>
      <c r="D187" s="700">
        <f>(F187+G187+M187+L187)+$E$179</f>
        <v>194.29285714285714</v>
      </c>
      <c r="E187" s="121">
        <f t="shared" si="37"/>
        <v>101.29285714285714</v>
      </c>
      <c r="F187" s="121">
        <f t="shared" si="32"/>
        <v>88.082857142857151</v>
      </c>
      <c r="G187" s="177">
        <f t="shared" si="32"/>
        <v>13.21</v>
      </c>
      <c r="H187" s="157">
        <f t="shared" si="38"/>
        <v>0.14997242855752699</v>
      </c>
      <c r="I187" s="121">
        <f t="shared" si="33"/>
        <v>82</v>
      </c>
      <c r="J187" s="696">
        <f t="shared" ref="J187:L194" si="40">J186</f>
        <v>78</v>
      </c>
      <c r="K187" s="692">
        <v>4</v>
      </c>
      <c r="L187" s="318">
        <f t="shared" si="40"/>
        <v>11</v>
      </c>
      <c r="M187" s="243">
        <v>82</v>
      </c>
      <c r="O187" s="243">
        <v>82</v>
      </c>
      <c r="P187" s="243">
        <v>6.2</v>
      </c>
      <c r="Q187" s="424">
        <v>172</v>
      </c>
      <c r="R187" s="436">
        <f t="shared" si="39"/>
        <v>22.292857142857144</v>
      </c>
      <c r="S187" s="437">
        <f t="shared" si="34"/>
        <v>10.610000000000001</v>
      </c>
      <c r="W187">
        <f>SUM(W183:W186)</f>
        <v>330</v>
      </c>
      <c r="X187">
        <v>43</v>
      </c>
    </row>
    <row r="188" spans="2:26" ht="15" customHeight="1" x14ac:dyDescent="0.2">
      <c r="B188" s="106">
        <v>4</v>
      </c>
      <c r="C188" s="121">
        <f t="shared" si="35"/>
        <v>138.64342857142861</v>
      </c>
      <c r="D188" s="700">
        <f t="shared" si="36"/>
        <v>216.64342857142861</v>
      </c>
      <c r="E188" s="121">
        <f t="shared" si="37"/>
        <v>123.6434285714286</v>
      </c>
      <c r="F188" s="121">
        <f t="shared" si="32"/>
        <v>107.5114285714286</v>
      </c>
      <c r="G188" s="177">
        <f t="shared" si="32"/>
        <v>16.132000000000001</v>
      </c>
      <c r="H188" s="157">
        <f t="shared" si="38"/>
        <v>0.15004916420845624</v>
      </c>
      <c r="I188" s="121">
        <f t="shared" si="33"/>
        <v>82</v>
      </c>
      <c r="J188" s="696">
        <f t="shared" si="40"/>
        <v>78</v>
      </c>
      <c r="K188" s="692">
        <v>4</v>
      </c>
      <c r="L188" s="318">
        <f t="shared" si="40"/>
        <v>11</v>
      </c>
      <c r="M188" s="243">
        <v>82</v>
      </c>
      <c r="O188" s="243">
        <v>82</v>
      </c>
      <c r="P188" s="243">
        <v>7.1</v>
      </c>
      <c r="Q188" s="424">
        <v>191</v>
      </c>
      <c r="R188" s="436">
        <f t="shared" si="39"/>
        <v>25.643428571428615</v>
      </c>
      <c r="S188" s="437">
        <f t="shared" si="34"/>
        <v>12.332000000000001</v>
      </c>
      <c r="X188">
        <f>SUM(X183:X187)</f>
        <v>367</v>
      </c>
    </row>
    <row r="189" spans="2:26" ht="15" customHeight="1" x14ac:dyDescent="0.2">
      <c r="B189" s="106">
        <v>5</v>
      </c>
      <c r="C189" s="120">
        <f t="shared" si="35"/>
        <v>156.55714285714288</v>
      </c>
      <c r="D189" s="699">
        <f t="shared" si="36"/>
        <v>234.55714285714288</v>
      </c>
      <c r="E189" s="120">
        <f t="shared" si="37"/>
        <v>141.55714285714288</v>
      </c>
      <c r="F189" s="120">
        <f t="shared" si="32"/>
        <v>123.09714285714287</v>
      </c>
      <c r="G189" s="176">
        <f t="shared" si="32"/>
        <v>18.46</v>
      </c>
      <c r="H189" s="156">
        <f t="shared" si="38"/>
        <v>0.14996286324389563</v>
      </c>
      <c r="I189" s="120">
        <f t="shared" si="33"/>
        <v>82</v>
      </c>
      <c r="J189" s="695">
        <f t="shared" si="40"/>
        <v>78</v>
      </c>
      <c r="K189" s="691">
        <v>4</v>
      </c>
      <c r="L189" s="317">
        <f t="shared" si="40"/>
        <v>11</v>
      </c>
      <c r="M189" s="242">
        <v>82</v>
      </c>
      <c r="O189" s="242">
        <v>82</v>
      </c>
      <c r="P189" s="242">
        <v>8.5</v>
      </c>
      <c r="Q189" s="423">
        <v>209</v>
      </c>
      <c r="R189" s="434">
        <f t="shared" si="39"/>
        <v>25.557142857142878</v>
      </c>
      <c r="S189" s="435">
        <f t="shared" si="34"/>
        <v>13.360000000000001</v>
      </c>
    </row>
    <row r="190" spans="2:26" ht="15" customHeight="1" x14ac:dyDescent="0.2">
      <c r="B190" s="106">
        <v>10</v>
      </c>
      <c r="C190" s="121">
        <f t="shared" si="35"/>
        <v>236.02857142857147</v>
      </c>
      <c r="D190" s="700">
        <f t="shared" si="36"/>
        <v>314.02857142857147</v>
      </c>
      <c r="E190" s="121">
        <f t="shared" si="37"/>
        <v>221.02857142857147</v>
      </c>
      <c r="F190" s="121">
        <f t="shared" si="32"/>
        <v>192.19857142857146</v>
      </c>
      <c r="G190" s="177">
        <f t="shared" si="32"/>
        <v>28.83</v>
      </c>
      <c r="H190" s="157">
        <f t="shared" si="38"/>
        <v>0.15000111491835078</v>
      </c>
      <c r="I190" s="121">
        <f t="shared" si="33"/>
        <v>82</v>
      </c>
      <c r="J190" s="696">
        <f t="shared" si="40"/>
        <v>78</v>
      </c>
      <c r="K190" s="692">
        <v>4</v>
      </c>
      <c r="L190" s="318">
        <f t="shared" si="40"/>
        <v>11</v>
      </c>
      <c r="M190" s="243">
        <v>82</v>
      </c>
      <c r="O190" s="243">
        <v>82</v>
      </c>
      <c r="P190" s="243">
        <v>10.6</v>
      </c>
      <c r="Q190" s="424">
        <v>287</v>
      </c>
      <c r="R190" s="436">
        <f t="shared" si="39"/>
        <v>27.028571428571468</v>
      </c>
      <c r="S190" s="437">
        <f t="shared" si="34"/>
        <v>13.729999999999999</v>
      </c>
    </row>
    <row r="191" spans="2:26" ht="15" customHeight="1" x14ac:dyDescent="0.2">
      <c r="B191" s="106">
        <v>20</v>
      </c>
      <c r="C191" s="121">
        <f t="shared" si="35"/>
        <v>370.48571428571432</v>
      </c>
      <c r="D191" s="700">
        <f t="shared" si="36"/>
        <v>448.48571428571432</v>
      </c>
      <c r="E191" s="121">
        <f t="shared" si="37"/>
        <v>355.48571428571432</v>
      </c>
      <c r="F191" s="121">
        <f t="shared" si="32"/>
        <v>309.10571428571433</v>
      </c>
      <c r="G191" s="177">
        <f t="shared" si="32"/>
        <v>46.38</v>
      </c>
      <c r="H191" s="157">
        <f t="shared" si="38"/>
        <v>0.15004575411093754</v>
      </c>
      <c r="I191" s="121">
        <f t="shared" si="33"/>
        <v>82</v>
      </c>
      <c r="J191" s="696">
        <f t="shared" si="40"/>
        <v>78</v>
      </c>
      <c r="K191" s="692">
        <v>4</v>
      </c>
      <c r="L191" s="318">
        <f t="shared" si="40"/>
        <v>11</v>
      </c>
      <c r="M191" s="243">
        <v>82</v>
      </c>
      <c r="O191" s="243">
        <v>82</v>
      </c>
      <c r="P191" s="243">
        <v>12.4</v>
      </c>
      <c r="Q191" s="424">
        <v>439</v>
      </c>
      <c r="R191" s="436">
        <f t="shared" si="39"/>
        <v>9.4857142857143231</v>
      </c>
      <c r="S191" s="437">
        <f t="shared" si="34"/>
        <v>2.3800000000000026</v>
      </c>
      <c r="X191">
        <f>367-330</f>
        <v>37</v>
      </c>
    </row>
    <row r="192" spans="2:26" ht="15" customHeight="1" x14ac:dyDescent="0.2">
      <c r="B192" s="106">
        <v>30</v>
      </c>
      <c r="C192" s="121">
        <f t="shared" si="35"/>
        <v>489.94142857142856</v>
      </c>
      <c r="D192" s="700">
        <f t="shared" si="36"/>
        <v>567.94142857142856</v>
      </c>
      <c r="E192" s="121">
        <f>F192+G192</f>
        <v>474.94142857142856</v>
      </c>
      <c r="F192" s="121">
        <f t="shared" si="32"/>
        <v>412.99142857142857</v>
      </c>
      <c r="G192" s="177">
        <f t="shared" si="32"/>
        <v>61.95</v>
      </c>
      <c r="H192" s="157">
        <f t="shared" si="38"/>
        <v>0.15000311317426165</v>
      </c>
      <c r="I192" s="121">
        <f t="shared" si="33"/>
        <v>82</v>
      </c>
      <c r="J192" s="696">
        <f t="shared" si="40"/>
        <v>78</v>
      </c>
      <c r="K192" s="692">
        <v>4</v>
      </c>
      <c r="L192" s="318">
        <f t="shared" si="40"/>
        <v>11</v>
      </c>
      <c r="M192" s="243">
        <v>82</v>
      </c>
      <c r="O192" s="243">
        <v>82</v>
      </c>
      <c r="P192" s="243">
        <v>12</v>
      </c>
      <c r="Q192" s="424">
        <v>562</v>
      </c>
      <c r="R192" s="436">
        <f t="shared" si="39"/>
        <v>5.9414285714285597</v>
      </c>
      <c r="S192" s="437">
        <f t="shared" si="34"/>
        <v>-1.1499999999999986</v>
      </c>
    </row>
    <row r="193" spans="1:24" ht="15" customHeight="1" x14ac:dyDescent="0.2">
      <c r="B193" s="106">
        <v>40</v>
      </c>
      <c r="C193" s="121">
        <f t="shared" si="35"/>
        <v>600.90571428571423</v>
      </c>
      <c r="D193" s="700">
        <f t="shared" si="36"/>
        <v>678.90571428571423</v>
      </c>
      <c r="E193" s="121">
        <f t="shared" ref="E193:E194" si="41">F193+G193</f>
        <v>584.90571428571423</v>
      </c>
      <c r="F193" s="121">
        <f t="shared" si="32"/>
        <v>508.60571428571427</v>
      </c>
      <c r="G193" s="177">
        <f t="shared" si="32"/>
        <v>76.3</v>
      </c>
      <c r="H193" s="157">
        <f t="shared" si="38"/>
        <v>0.15001797631620339</v>
      </c>
      <c r="I193" s="121">
        <f t="shared" si="33"/>
        <v>83</v>
      </c>
      <c r="J193" s="696">
        <f t="shared" si="40"/>
        <v>78</v>
      </c>
      <c r="K193" s="692">
        <v>4</v>
      </c>
      <c r="L193" s="318">
        <f t="shared" si="40"/>
        <v>11</v>
      </c>
      <c r="M193" s="243">
        <v>83</v>
      </c>
      <c r="O193" s="243">
        <v>83</v>
      </c>
      <c r="P193" s="243">
        <v>12.9</v>
      </c>
      <c r="Q193" s="424">
        <v>675</v>
      </c>
      <c r="R193" s="436">
        <f t="shared" si="39"/>
        <v>3.9057142857142253</v>
      </c>
      <c r="S193" s="437">
        <f t="shared" si="34"/>
        <v>-2.5</v>
      </c>
      <c r="X193">
        <f>343+37</f>
        <v>380</v>
      </c>
    </row>
    <row r="194" spans="1:24" ht="15" customHeight="1" thickBot="1" x14ac:dyDescent="0.25">
      <c r="B194" s="106">
        <v>50</v>
      </c>
      <c r="C194" s="120">
        <f>(D194-J194)</f>
        <v>707.79857142857145</v>
      </c>
      <c r="D194" s="701">
        <f>(F194+G194+M194+L194)+$E$179</f>
        <v>785.79857142857145</v>
      </c>
      <c r="E194" s="120">
        <f t="shared" si="41"/>
        <v>690.79857142857145</v>
      </c>
      <c r="F194" s="120">
        <f t="shared" si="32"/>
        <v>600.69857142857143</v>
      </c>
      <c r="G194" s="176">
        <f t="shared" si="32"/>
        <v>90.1</v>
      </c>
      <c r="H194" s="156">
        <f t="shared" si="38"/>
        <v>0.14999203308528877</v>
      </c>
      <c r="I194" s="120">
        <f t="shared" si="33"/>
        <v>84</v>
      </c>
      <c r="J194" s="697">
        <f t="shared" si="40"/>
        <v>78</v>
      </c>
      <c r="K194" s="693">
        <v>4</v>
      </c>
      <c r="L194" s="553">
        <f t="shared" si="40"/>
        <v>11</v>
      </c>
      <c r="M194" s="554">
        <v>84</v>
      </c>
      <c r="O194" s="554">
        <v>84</v>
      </c>
      <c r="P194" s="242">
        <v>13.4</v>
      </c>
      <c r="Q194" s="423">
        <v>786</v>
      </c>
      <c r="R194" s="438">
        <f t="shared" si="39"/>
        <v>-0.20142857142855064</v>
      </c>
      <c r="S194" s="439">
        <f t="shared" si="34"/>
        <v>-3.7000000000000028</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2.52</v>
      </c>
      <c r="E205" s="255">
        <v>1</v>
      </c>
      <c r="F205" s="249">
        <v>1.4496371677743731</v>
      </c>
      <c r="G205" s="122">
        <v>1.4496371677743731</v>
      </c>
      <c r="H205" s="34">
        <f>(D206*2.20462*25.4*12)</f>
        <v>3158.2504271999996</v>
      </c>
      <c r="I205" s="5">
        <f>F205*D$205*SQRT(4*D$207*H$205/32.2)/12</f>
        <v>55.592142857142868</v>
      </c>
      <c r="J205" s="1"/>
      <c r="K205" s="22"/>
      <c r="L205" s="96">
        <v>1</v>
      </c>
      <c r="M205" s="92">
        <f>L205*I205</f>
        <v>55.592142857142868</v>
      </c>
      <c r="N205" s="13"/>
      <c r="O205" s="84">
        <v>1</v>
      </c>
      <c r="P205" s="92">
        <f>C185</f>
        <v>55.592142857142875</v>
      </c>
      <c r="Q205" s="254">
        <f>P205/M205</f>
        <v>1.0000000000000002</v>
      </c>
      <c r="R205" s="254">
        <f>G205*Q205</f>
        <v>1.4496371677743733</v>
      </c>
      <c r="S205" s="267" t="s">
        <v>138</v>
      </c>
    </row>
    <row r="206" spans="1:24" ht="15" customHeight="1" x14ac:dyDescent="0.2">
      <c r="B206" s="259" t="s">
        <v>7</v>
      </c>
      <c r="C206" s="12" t="s">
        <v>10</v>
      </c>
      <c r="D206" s="444">
        <v>4.7</v>
      </c>
      <c r="E206" s="255">
        <v>2</v>
      </c>
      <c r="F206" s="250">
        <v>1.1583668049797988</v>
      </c>
      <c r="G206" s="123">
        <v>1.1583668049797988</v>
      </c>
      <c r="H206" s="35"/>
      <c r="I206" s="5">
        <f>F206*D$205*SQRT(4*D$207*H$205/32.2)/12</f>
        <v>44.422214285714261</v>
      </c>
      <c r="J206" s="1"/>
      <c r="K206" s="22"/>
      <c r="L206" s="97">
        <v>2</v>
      </c>
      <c r="M206" s="93">
        <f>L206*I206</f>
        <v>88.844428571428523</v>
      </c>
      <c r="N206" s="13"/>
      <c r="O206" s="84">
        <v>2</v>
      </c>
      <c r="P206" s="93">
        <f t="shared" ref="P206:P214" si="42">C186</f>
        <v>88.844428571428551</v>
      </c>
      <c r="Q206" s="254">
        <f t="shared" ref="Q206:Q214" si="43">P206/M206</f>
        <v>1.0000000000000002</v>
      </c>
      <c r="R206" s="254">
        <f t="shared" ref="R206:R214" si="44">G206*Q206</f>
        <v>1.158366804979799</v>
      </c>
      <c r="S206" s="267" t="s">
        <v>139</v>
      </c>
    </row>
    <row r="207" spans="1:24" ht="15" customHeight="1" x14ac:dyDescent="0.2">
      <c r="B207" s="261" t="s">
        <v>8</v>
      </c>
      <c r="C207" s="262" t="s">
        <v>15</v>
      </c>
      <c r="D207" s="263">
        <v>85</v>
      </c>
      <c r="E207" s="255">
        <v>3</v>
      </c>
      <c r="F207" s="249">
        <v>1.0108289852768919</v>
      </c>
      <c r="G207" s="122">
        <v>1.0108289852768919</v>
      </c>
      <c r="H207" s="35"/>
      <c r="I207" s="5">
        <f t="shared" ref="I207:I214" si="45">F207*D$205*SQRT(4*D$207*H$205/32.2)/12</f>
        <v>38.76428571428572</v>
      </c>
      <c r="J207" s="1"/>
      <c r="K207" s="22"/>
      <c r="L207" s="98">
        <v>3</v>
      </c>
      <c r="M207" s="94">
        <f t="shared" ref="M207:M213" si="46">L207*I207</f>
        <v>116.29285714285716</v>
      </c>
      <c r="N207" s="13"/>
      <c r="O207" s="84">
        <v>3</v>
      </c>
      <c r="P207" s="94">
        <f t="shared" si="42"/>
        <v>116.29285714285714</v>
      </c>
      <c r="Q207" s="254">
        <f t="shared" si="43"/>
        <v>0.99999999999999989</v>
      </c>
      <c r="R207" s="254">
        <f t="shared" si="44"/>
        <v>1.0108289852768917</v>
      </c>
    </row>
    <row r="208" spans="1:24" ht="15" customHeight="1" x14ac:dyDescent="0.2">
      <c r="E208" s="30">
        <v>4</v>
      </c>
      <c r="F208" s="249">
        <v>0.90382676757616087</v>
      </c>
      <c r="G208" s="122">
        <v>0.90382676757616087</v>
      </c>
      <c r="H208" s="35"/>
      <c r="I208" s="5">
        <f t="shared" si="45"/>
        <v>34.660857142857154</v>
      </c>
      <c r="J208" s="1"/>
      <c r="K208" s="22"/>
      <c r="L208" s="98">
        <v>4</v>
      </c>
      <c r="M208" s="94">
        <f t="shared" si="46"/>
        <v>138.64342857142861</v>
      </c>
      <c r="N208" s="13"/>
      <c r="O208" s="84">
        <v>4</v>
      </c>
      <c r="P208" s="94">
        <f t="shared" si="42"/>
        <v>138.64342857142861</v>
      </c>
      <c r="Q208" s="254">
        <f t="shared" si="43"/>
        <v>1</v>
      </c>
      <c r="R208" s="254">
        <f t="shared" si="44"/>
        <v>0.90382676757616087</v>
      </c>
    </row>
    <row r="209" spans="1:19" ht="15" customHeight="1" x14ac:dyDescent="0.2">
      <c r="B209" s="268" t="s">
        <v>132</v>
      </c>
      <c r="E209" s="30">
        <v>5</v>
      </c>
      <c r="F209" s="250">
        <v>0.81648607699645925</v>
      </c>
      <c r="G209" s="123">
        <v>0.81648607699645925</v>
      </c>
      <c r="H209" s="35"/>
      <c r="I209" s="5">
        <f t="shared" si="45"/>
        <v>31.311428571428582</v>
      </c>
      <c r="J209" s="1"/>
      <c r="K209" s="22"/>
      <c r="L209" s="97">
        <v>5</v>
      </c>
      <c r="M209" s="93">
        <f t="shared" si="46"/>
        <v>156.55714285714291</v>
      </c>
      <c r="N209" s="13"/>
      <c r="O209" s="84">
        <v>5</v>
      </c>
      <c r="P209" s="93">
        <f t="shared" si="42"/>
        <v>156.55714285714288</v>
      </c>
      <c r="Q209" s="254">
        <f t="shared" si="43"/>
        <v>0.99999999999999978</v>
      </c>
      <c r="R209" s="254">
        <f t="shared" si="44"/>
        <v>0.81648607699645903</v>
      </c>
    </row>
    <row r="210" spans="1:19" ht="15" customHeight="1" x14ac:dyDescent="0.2">
      <c r="B210" s="42" t="s">
        <v>131</v>
      </c>
      <c r="E210" s="30">
        <v>10</v>
      </c>
      <c r="F210" s="249">
        <v>0.615475087331668</v>
      </c>
      <c r="G210" s="122">
        <v>0.615475087331668</v>
      </c>
      <c r="H210" s="35"/>
      <c r="I210" s="5">
        <f t="shared" si="45"/>
        <v>23.602857142857147</v>
      </c>
      <c r="J210" s="1"/>
      <c r="K210" s="22"/>
      <c r="L210" s="98">
        <v>10</v>
      </c>
      <c r="M210" s="94">
        <f t="shared" si="46"/>
        <v>236.02857142857147</v>
      </c>
      <c r="N210" s="13"/>
      <c r="O210" s="84">
        <v>10</v>
      </c>
      <c r="P210" s="94">
        <f t="shared" si="42"/>
        <v>236.02857142857147</v>
      </c>
      <c r="Q210" s="254">
        <f t="shared" si="43"/>
        <v>1</v>
      </c>
      <c r="R210" s="254">
        <f t="shared" si="44"/>
        <v>0.615475087331668</v>
      </c>
    </row>
    <row r="211" spans="1:19" ht="15" customHeight="1" x14ac:dyDescent="0.2">
      <c r="E211" s="30">
        <v>20</v>
      </c>
      <c r="F211" s="249">
        <v>0.48304475592723267</v>
      </c>
      <c r="G211" s="122">
        <v>0.48304475592723267</v>
      </c>
      <c r="H211" s="35"/>
      <c r="I211" s="5">
        <f t="shared" si="45"/>
        <v>18.524285714285714</v>
      </c>
      <c r="J211" s="1"/>
      <c r="K211" s="22"/>
      <c r="L211" s="98">
        <v>20</v>
      </c>
      <c r="M211" s="94">
        <f t="shared" si="46"/>
        <v>370.48571428571427</v>
      </c>
      <c r="N211" s="13"/>
      <c r="O211" s="84">
        <v>20</v>
      </c>
      <c r="P211" s="94">
        <f t="shared" si="42"/>
        <v>370.48571428571432</v>
      </c>
      <c r="Q211" s="254">
        <f t="shared" si="43"/>
        <v>1.0000000000000002</v>
      </c>
      <c r="R211" s="254">
        <f t="shared" si="44"/>
        <v>0.48304475592723278</v>
      </c>
    </row>
    <row r="212" spans="1:19" ht="15" customHeight="1" x14ac:dyDescent="0.2">
      <c r="E212" s="30">
        <v>30</v>
      </c>
      <c r="F212" s="249">
        <v>0.42586192243913457</v>
      </c>
      <c r="G212" s="122">
        <v>0.42586192243913457</v>
      </c>
      <c r="H212" s="35"/>
      <c r="I212" s="5">
        <f t="shared" si="45"/>
        <v>16.33138095238095</v>
      </c>
      <c r="J212" s="1"/>
      <c r="K212" s="22"/>
      <c r="L212" s="98">
        <v>30</v>
      </c>
      <c r="M212" s="94">
        <f>L212*I212</f>
        <v>489.9414285714285</v>
      </c>
      <c r="N212" s="13"/>
      <c r="O212" s="84">
        <v>30</v>
      </c>
      <c r="P212" s="94">
        <f t="shared" si="42"/>
        <v>489.94142857142856</v>
      </c>
      <c r="Q212" s="254">
        <f t="shared" si="43"/>
        <v>1.0000000000000002</v>
      </c>
      <c r="R212" s="254">
        <f t="shared" si="44"/>
        <v>0.42586192243913468</v>
      </c>
    </row>
    <row r="213" spans="1:19" ht="15" customHeight="1" x14ac:dyDescent="0.2">
      <c r="E213" s="30">
        <v>40</v>
      </c>
      <c r="F213" s="249">
        <v>0.39173488059052891</v>
      </c>
      <c r="G213" s="122">
        <v>0.39173488059052891</v>
      </c>
      <c r="H213" s="35"/>
      <c r="I213" s="5">
        <f t="shared" si="45"/>
        <v>15.022642857142856</v>
      </c>
      <c r="J213" s="1"/>
      <c r="K213" s="22"/>
      <c r="L213" s="98">
        <v>40</v>
      </c>
      <c r="M213" s="94">
        <f t="shared" si="46"/>
        <v>600.90571428571423</v>
      </c>
      <c r="N213" s="13"/>
      <c r="O213" s="84">
        <v>40</v>
      </c>
      <c r="P213" s="126">
        <f t="shared" si="42"/>
        <v>600.90571428571423</v>
      </c>
      <c r="Q213" s="254">
        <f t="shared" si="43"/>
        <v>1</v>
      </c>
      <c r="R213" s="254">
        <f t="shared" si="44"/>
        <v>0.39173488059052891</v>
      </c>
    </row>
    <row r="214" spans="1:19" ht="15" customHeight="1" x14ac:dyDescent="0.2">
      <c r="E214" s="30">
        <v>50</v>
      </c>
      <c r="F214" s="250">
        <v>0.36913529995673744</v>
      </c>
      <c r="G214" s="123">
        <v>0.36913529995673744</v>
      </c>
      <c r="H214" s="36"/>
      <c r="I214" s="23">
        <f t="shared" si="45"/>
        <v>14.155971428571426</v>
      </c>
      <c r="J214" s="24"/>
      <c r="K214" s="17"/>
      <c r="L214" s="99">
        <v>50</v>
      </c>
      <c r="M214" s="100">
        <f>L214*I214</f>
        <v>707.79857142857134</v>
      </c>
      <c r="N214" s="16"/>
      <c r="O214" s="107">
        <v>50</v>
      </c>
      <c r="P214" s="127">
        <f t="shared" si="42"/>
        <v>707.79857142857145</v>
      </c>
      <c r="Q214" s="254">
        <f t="shared" si="43"/>
        <v>1.0000000000000002</v>
      </c>
      <c r="R214" s="254">
        <f t="shared" si="44"/>
        <v>0.36913529995673749</v>
      </c>
    </row>
    <row r="215" spans="1:19" ht="15" customHeight="1" x14ac:dyDescent="0.2">
      <c r="E215" s="2"/>
      <c r="F215" s="160"/>
      <c r="G215" s="160"/>
      <c r="H215" s="40"/>
      <c r="I215" s="161"/>
      <c r="J215" s="40"/>
      <c r="K215" s="40"/>
      <c r="L215" s="162"/>
      <c r="M215" s="162"/>
      <c r="N215" s="66"/>
      <c r="O215" s="163"/>
      <c r="P215" s="162"/>
    </row>
    <row r="216" spans="1:19" ht="15" customHeight="1" x14ac:dyDescent="0.2">
      <c r="E216" s="879"/>
      <c r="F216" s="880"/>
      <c r="G216" s="160"/>
      <c r="H216" s="40"/>
      <c r="I216" s="161"/>
      <c r="J216" s="40"/>
      <c r="K216" s="1"/>
      <c r="L216" s="162"/>
      <c r="M216" s="321"/>
      <c r="N216" s="322" t="s">
        <v>167</v>
      </c>
      <c r="P216" s="162"/>
    </row>
    <row r="217" spans="1:19" ht="15" customHeight="1" x14ac:dyDescent="0.2">
      <c r="E217" s="881" t="s">
        <v>423</v>
      </c>
      <c r="F217" s="882"/>
      <c r="G217" s="40"/>
      <c r="H217" s="40"/>
      <c r="I217" s="40"/>
      <c r="J217" s="40"/>
      <c r="K217" s="40"/>
      <c r="L217" s="40"/>
      <c r="M217" s="40"/>
      <c r="P217" s="41"/>
    </row>
    <row r="218" spans="1:19" ht="15" customHeight="1" x14ac:dyDescent="0.2">
      <c r="A218" s="90" t="s">
        <v>85</v>
      </c>
      <c r="B218" s="64" t="s">
        <v>86</v>
      </c>
      <c r="S218" t="s">
        <v>632</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15-15-15</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7">D206</f>
        <v>4.7</v>
      </c>
      <c r="C227" s="1" t="s">
        <v>0</v>
      </c>
      <c r="D227" s="22"/>
      <c r="E227" s="71">
        <v>1</v>
      </c>
      <c r="F227" s="55">
        <f>F185</f>
        <v>35.297142857142866</v>
      </c>
      <c r="G227" s="46">
        <f>F227/E227</f>
        <v>35.297142857142866</v>
      </c>
      <c r="H227" s="178">
        <f t="shared" ref="H227:H236" si="48">SQRT(12*32.2*G227^2/(4*$B$228*($B$227*56)*$B$226^2))</f>
        <v>0.92039694769034286</v>
      </c>
      <c r="I227" s="718"/>
      <c r="J227" s="178">
        <v>0.92039694769034286</v>
      </c>
      <c r="K227" s="544">
        <v>1</v>
      </c>
      <c r="L227" s="549">
        <f>J227*$L$225</f>
        <v>0.92039694769034286</v>
      </c>
      <c r="M227" s="5">
        <f>(B227*2.20462*25.4*12)</f>
        <v>3158.2504271999996</v>
      </c>
      <c r="N227" s="74">
        <f t="shared" ref="N227:N236" si="49">L227*B$226*SQRT(4*B$228*M$227/32.2)/12</f>
        <v>35.296307061329145</v>
      </c>
      <c r="O227" s="597">
        <f>K227*N227</f>
        <v>35.296307061329145</v>
      </c>
      <c r="P227" s="591">
        <f t="shared" ref="P227:P236" si="50">M157</f>
        <v>1.1500121418164158</v>
      </c>
      <c r="Q227" s="60">
        <f>P227*O227</f>
        <v>40.591181681809012</v>
      </c>
      <c r="R227" s="166">
        <f>Q227-O227</f>
        <v>5.2948746204798667</v>
      </c>
      <c r="S227" s="169">
        <f>R227/O227</f>
        <v>0.15001214181641581</v>
      </c>
    </row>
    <row r="228" spans="2:19" ht="15" customHeight="1" x14ac:dyDescent="0.2">
      <c r="B228" s="271">
        <f t="shared" si="47"/>
        <v>85</v>
      </c>
      <c r="C228" s="77" t="s">
        <v>1</v>
      </c>
      <c r="D228" s="17"/>
      <c r="E228" s="70">
        <v>2</v>
      </c>
      <c r="F228" s="54">
        <f t="shared" ref="F228:F236" si="51">F186</f>
        <v>64.211428571428556</v>
      </c>
      <c r="G228" s="45">
        <f t="shared" ref="G228:G236" si="52">F228/E228</f>
        <v>32.105714285714278</v>
      </c>
      <c r="H228" s="179">
        <f t="shared" si="48"/>
        <v>0.83717828243454573</v>
      </c>
      <c r="I228" s="718"/>
      <c r="J228" s="179">
        <v>0.83717828243454573</v>
      </c>
      <c r="K228" s="545">
        <v>2</v>
      </c>
      <c r="L228" s="550">
        <f t="shared" ref="L228:L236" si="53">J228*$L$225</f>
        <v>0.83717828243454573</v>
      </c>
      <c r="N228" s="73">
        <f t="shared" si="49"/>
        <v>32.104954059264649</v>
      </c>
      <c r="O228" s="598">
        <f t="shared" ref="O228:O235" si="54">K228*N228</f>
        <v>64.209908118529299</v>
      </c>
      <c r="P228" s="591">
        <f t="shared" si="50"/>
        <v>1.1500200231378481</v>
      </c>
      <c r="Q228" s="59">
        <f t="shared" ref="Q228:Q236" si="55">P228*O228</f>
        <v>73.842680020150169</v>
      </c>
      <c r="R228" s="167">
        <f t="shared" ref="R228:R236" si="56">Q228-O228</f>
        <v>9.6327719016208704</v>
      </c>
      <c r="S228" s="170">
        <f t="shared" ref="S228:S236" si="57">R228/O228</f>
        <v>0.15002002313784818</v>
      </c>
    </row>
    <row r="229" spans="2:19" ht="15" customHeight="1" x14ac:dyDescent="0.2">
      <c r="E229" s="69">
        <v>3</v>
      </c>
      <c r="F229" s="50">
        <f t="shared" si="51"/>
        <v>88.082857142857151</v>
      </c>
      <c r="G229" s="44">
        <f t="shared" si="52"/>
        <v>29.360952380952384</v>
      </c>
      <c r="H229" s="180">
        <f t="shared" si="48"/>
        <v>0.76560675355743291</v>
      </c>
      <c r="I229" s="718"/>
      <c r="J229" s="180">
        <v>0.76560675355743291</v>
      </c>
      <c r="K229" s="546">
        <v>3</v>
      </c>
      <c r="L229" s="551">
        <f t="shared" si="53"/>
        <v>0.76560675355743291</v>
      </c>
      <c r="N229" s="72">
        <f t="shared" si="49"/>
        <v>29.36025714731305</v>
      </c>
      <c r="O229" s="599">
        <f>K229*N229</f>
        <v>88.080771441939149</v>
      </c>
      <c r="P229" s="591">
        <f t="shared" si="50"/>
        <v>1.149972428557527</v>
      </c>
      <c r="Q229" s="58">
        <f t="shared" si="55"/>
        <v>101.29045864430724</v>
      </c>
      <c r="R229" s="168">
        <f>Q229-O229</f>
        <v>13.209687202368087</v>
      </c>
      <c r="S229" s="171">
        <f t="shared" si="57"/>
        <v>0.14997242855752704</v>
      </c>
    </row>
    <row r="230" spans="2:19" ht="15" customHeight="1" x14ac:dyDescent="0.2">
      <c r="E230" s="69">
        <v>4</v>
      </c>
      <c r="F230" s="50">
        <f t="shared" si="51"/>
        <v>107.5114285714286</v>
      </c>
      <c r="G230" s="44">
        <f t="shared" si="52"/>
        <v>26.877857142857149</v>
      </c>
      <c r="H230" s="180">
        <f t="shared" si="48"/>
        <v>0.70085836054395156</v>
      </c>
      <c r="I230" s="718"/>
      <c r="J230" s="180">
        <v>0.70085836054395156</v>
      </c>
      <c r="K230" s="546">
        <v>4</v>
      </c>
      <c r="L230" s="551">
        <f t="shared" si="53"/>
        <v>0.70085836054395156</v>
      </c>
      <c r="N230" s="72">
        <f t="shared" si="49"/>
        <v>26.877220706061891</v>
      </c>
      <c r="O230" s="599">
        <f t="shared" si="54"/>
        <v>107.50888282424756</v>
      </c>
      <c r="P230" s="591">
        <f t="shared" si="50"/>
        <v>1.1500491642084563</v>
      </c>
      <c r="Q230" s="58">
        <f t="shared" si="55"/>
        <v>123.64050083701078</v>
      </c>
      <c r="R230" s="168">
        <f>Q230-O230</f>
        <v>16.131618012763212</v>
      </c>
      <c r="S230" s="171">
        <f t="shared" si="57"/>
        <v>0.15004916420845632</v>
      </c>
    </row>
    <row r="231" spans="2:19" ht="15" customHeight="1" x14ac:dyDescent="0.2">
      <c r="E231" s="70">
        <v>5</v>
      </c>
      <c r="F231" s="54">
        <f t="shared" si="51"/>
        <v>123.09714285714287</v>
      </c>
      <c r="G231" s="45">
        <f t="shared" si="52"/>
        <v>24.619428571428575</v>
      </c>
      <c r="H231" s="179">
        <f t="shared" si="48"/>
        <v>0.64196830329109156</v>
      </c>
      <c r="I231" s="718"/>
      <c r="J231" s="179">
        <v>0.64196830329109156</v>
      </c>
      <c r="K231" s="545">
        <v>5</v>
      </c>
      <c r="L231" s="550">
        <f t="shared" si="53"/>
        <v>0.64196830329109156</v>
      </c>
      <c r="N231" s="73">
        <f t="shared" si="49"/>
        <v>24.618845611628696</v>
      </c>
      <c r="O231" s="598">
        <f t="shared" si="54"/>
        <v>123.09422805814349</v>
      </c>
      <c r="P231" s="591">
        <f t="shared" si="50"/>
        <v>1.1499628632438956</v>
      </c>
      <c r="Q231" s="59">
        <f t="shared" si="55"/>
        <v>141.55379094653975</v>
      </c>
      <c r="R231" s="167">
        <f t="shared" si="56"/>
        <v>18.459562888396263</v>
      </c>
      <c r="S231" s="170">
        <f t="shared" si="57"/>
        <v>0.14996286324389557</v>
      </c>
    </row>
    <row r="232" spans="2:19" ht="15" customHeight="1" x14ac:dyDescent="0.2">
      <c r="E232" s="69">
        <v>10</v>
      </c>
      <c r="F232" s="50">
        <f t="shared" si="51"/>
        <v>192.19857142857146</v>
      </c>
      <c r="G232" s="44">
        <f t="shared" si="52"/>
        <v>19.219857142857144</v>
      </c>
      <c r="H232" s="180">
        <f t="shared" si="48"/>
        <v>0.50117081489926751</v>
      </c>
      <c r="I232" s="718"/>
      <c r="J232" s="180">
        <v>0.50117081489926751</v>
      </c>
      <c r="K232" s="547">
        <v>10</v>
      </c>
      <c r="L232" s="551">
        <f t="shared" si="53"/>
        <v>0.50117081489926751</v>
      </c>
      <c r="M232" s="41"/>
      <c r="N232" s="76">
        <f t="shared" si="49"/>
        <v>19.219402038708765</v>
      </c>
      <c r="O232" s="600">
        <f t="shared" si="54"/>
        <v>192.19402038708765</v>
      </c>
      <c r="P232" s="591">
        <f t="shared" si="50"/>
        <v>1.1500011149183509</v>
      </c>
      <c r="Q232" s="58">
        <f t="shared" si="55"/>
        <v>221.02333772579107</v>
      </c>
      <c r="R232" s="168">
        <f t="shared" si="56"/>
        <v>28.829317338703419</v>
      </c>
      <c r="S232" s="171">
        <f t="shared" si="57"/>
        <v>0.15000111491835094</v>
      </c>
    </row>
    <row r="233" spans="2:19" ht="15" customHeight="1" x14ac:dyDescent="0.2">
      <c r="E233" s="69">
        <v>20</v>
      </c>
      <c r="F233" s="50">
        <f t="shared" si="51"/>
        <v>309.10571428571433</v>
      </c>
      <c r="G233" s="44">
        <f t="shared" si="52"/>
        <v>15.455285714285717</v>
      </c>
      <c r="H233" s="180">
        <f t="shared" si="48"/>
        <v>0.40300706078911736</v>
      </c>
      <c r="I233" s="718"/>
      <c r="J233" s="180">
        <v>0.40300706078911736</v>
      </c>
      <c r="K233" s="546">
        <v>20</v>
      </c>
      <c r="L233" s="551">
        <f t="shared" si="53"/>
        <v>0.40300706078911736</v>
      </c>
      <c r="N233" s="72">
        <f t="shared" si="49"/>
        <v>15.45491975086618</v>
      </c>
      <c r="O233" s="599">
        <f t="shared" si="54"/>
        <v>309.09839501732358</v>
      </c>
      <c r="P233" s="591">
        <f t="shared" si="50"/>
        <v>1.1500457541109375</v>
      </c>
      <c r="Q233" s="58">
        <f t="shared" si="55"/>
        <v>355.47729679217832</v>
      </c>
      <c r="R233" s="168">
        <f t="shared" si="56"/>
        <v>46.378901774854739</v>
      </c>
      <c r="S233" s="171">
        <f t="shared" si="57"/>
        <v>0.15004575411093743</v>
      </c>
    </row>
    <row r="234" spans="2:19" ht="15" customHeight="1" x14ac:dyDescent="0.2">
      <c r="E234" s="69">
        <v>30</v>
      </c>
      <c r="F234" s="50">
        <f t="shared" si="51"/>
        <v>412.99142857142857</v>
      </c>
      <c r="G234" s="44">
        <f t="shared" si="52"/>
        <v>13.766380952380953</v>
      </c>
      <c r="H234" s="180">
        <f t="shared" si="48"/>
        <v>0.35896772326856607</v>
      </c>
      <c r="I234" s="718"/>
      <c r="J234" s="180">
        <v>0.35896772326856607</v>
      </c>
      <c r="K234" s="546">
        <v>30</v>
      </c>
      <c r="L234" s="551">
        <f t="shared" si="53"/>
        <v>0.35896772326856607</v>
      </c>
      <c r="N234" s="72">
        <f t="shared" si="49"/>
        <v>13.766054980286933</v>
      </c>
      <c r="O234" s="599">
        <f t="shared" si="54"/>
        <v>412.98164940860801</v>
      </c>
      <c r="P234" s="591">
        <f t="shared" si="50"/>
        <v>1.1500031131742616</v>
      </c>
      <c r="Q234" s="58">
        <f t="shared" si="55"/>
        <v>474.9301825037407</v>
      </c>
      <c r="R234" s="168">
        <f t="shared" si="56"/>
        <v>61.948533095132689</v>
      </c>
      <c r="S234" s="171">
        <f t="shared" si="57"/>
        <v>0.15000311317426168</v>
      </c>
    </row>
    <row r="235" spans="2:19" ht="15" customHeight="1" x14ac:dyDescent="0.2">
      <c r="E235" s="69">
        <v>40</v>
      </c>
      <c r="F235" s="50">
        <f t="shared" si="51"/>
        <v>508.60571428571427</v>
      </c>
      <c r="G235" s="44">
        <f t="shared" si="52"/>
        <v>12.715142857142856</v>
      </c>
      <c r="H235" s="180">
        <f t="shared" si="48"/>
        <v>0.33155597671250864</v>
      </c>
      <c r="I235" s="718"/>
      <c r="J235" s="180">
        <v>0.33155597671250864</v>
      </c>
      <c r="K235" s="546">
        <v>40</v>
      </c>
      <c r="L235" s="551">
        <f t="shared" si="53"/>
        <v>0.33155597671250864</v>
      </c>
      <c r="N235" s="72">
        <f t="shared" si="49"/>
        <v>12.714841777159871</v>
      </c>
      <c r="O235" s="599">
        <f t="shared" si="54"/>
        <v>508.59367108639481</v>
      </c>
      <c r="P235" s="591">
        <f t="shared" si="50"/>
        <v>1.1500179763162033</v>
      </c>
      <c r="Q235" s="58">
        <f t="shared" si="55"/>
        <v>584.89186439000446</v>
      </c>
      <c r="R235" s="168">
        <f t="shared" si="56"/>
        <v>76.298193303609651</v>
      </c>
      <c r="S235" s="171">
        <f t="shared" si="57"/>
        <v>0.15001797631620326</v>
      </c>
    </row>
    <row r="236" spans="2:19" ht="15" customHeight="1" thickBot="1" x14ac:dyDescent="0.25">
      <c r="E236" s="70">
        <v>50</v>
      </c>
      <c r="F236" s="54">
        <f t="shared" si="51"/>
        <v>600.69857142857143</v>
      </c>
      <c r="G236" s="45">
        <f t="shared" si="52"/>
        <v>12.013971428571429</v>
      </c>
      <c r="H236" s="179">
        <f t="shared" si="48"/>
        <v>0.31327245599592402</v>
      </c>
      <c r="I236" s="718"/>
      <c r="J236" s="179">
        <v>0.31327245599592402</v>
      </c>
      <c r="K236" s="555">
        <v>50</v>
      </c>
      <c r="L236" s="556">
        <f t="shared" si="53"/>
        <v>0.31327245599592402</v>
      </c>
      <c r="N236" s="557">
        <f t="shared" si="49"/>
        <v>12.01368695152277</v>
      </c>
      <c r="O236" s="601">
        <f>K236*N236</f>
        <v>600.68434757613852</v>
      </c>
      <c r="P236" s="592">
        <f t="shared" si="50"/>
        <v>1.1499920330852889</v>
      </c>
      <c r="Q236" s="59">
        <f t="shared" si="55"/>
        <v>690.78221411159382</v>
      </c>
      <c r="R236" s="167">
        <f t="shared" si="56"/>
        <v>90.097866535455296</v>
      </c>
      <c r="S236" s="170">
        <f t="shared" si="57"/>
        <v>0.14999203308528883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8">E157</f>
        <v>5.2949999999999999</v>
      </c>
      <c r="S241" s="327">
        <f>R241/R227</f>
        <v>1.0000236794124735</v>
      </c>
    </row>
    <row r="242" spans="1:19" ht="15" customHeight="1" x14ac:dyDescent="0.2">
      <c r="E242" s="323"/>
      <c r="F242" s="324"/>
      <c r="G242" s="323"/>
      <c r="H242" s="325"/>
      <c r="I242" s="41"/>
      <c r="J242" s="325"/>
      <c r="K242" s="323"/>
      <c r="L242" s="325"/>
      <c r="M242" s="41"/>
      <c r="N242" s="324"/>
      <c r="O242" s="324"/>
      <c r="P242" s="326"/>
      <c r="Q242" s="324"/>
      <c r="R242" s="167">
        <f t="shared" si="58"/>
        <v>9.6329999999999991</v>
      </c>
      <c r="S242" s="327">
        <f t="shared" ref="S242:S250" si="59">R242/R228</f>
        <v>1.0000236794124742</v>
      </c>
    </row>
    <row r="243" spans="1:19" ht="15" customHeight="1" x14ac:dyDescent="0.2">
      <c r="R243" s="168">
        <f t="shared" si="58"/>
        <v>13.21</v>
      </c>
      <c r="S243" s="327">
        <f t="shared" si="59"/>
        <v>1.0000236794124737</v>
      </c>
    </row>
    <row r="244" spans="1:19" ht="15" customHeight="1" x14ac:dyDescent="0.2">
      <c r="R244" s="168">
        <f t="shared" si="58"/>
        <v>16.132000000000001</v>
      </c>
      <c r="S244" s="327">
        <f t="shared" si="59"/>
        <v>1.0000236794124735</v>
      </c>
    </row>
    <row r="245" spans="1:19" ht="15" customHeight="1" x14ac:dyDescent="0.2">
      <c r="R245" s="167">
        <f t="shared" si="58"/>
        <v>18.46</v>
      </c>
      <c r="S245" s="327">
        <f t="shared" si="59"/>
        <v>1.0000236794124748</v>
      </c>
    </row>
    <row r="246" spans="1:19" ht="15" customHeight="1" x14ac:dyDescent="0.2">
      <c r="R246" s="168">
        <f t="shared" si="58"/>
        <v>28.83</v>
      </c>
      <c r="S246" s="327">
        <f t="shared" si="59"/>
        <v>1.0000236794124731</v>
      </c>
    </row>
    <row r="247" spans="1:19" ht="15" customHeight="1" x14ac:dyDescent="0.2">
      <c r="F247" s="41"/>
      <c r="G247" s="41"/>
      <c r="H247" s="41"/>
      <c r="I247" s="41"/>
      <c r="J247" s="41"/>
      <c r="K247" s="41"/>
      <c r="L247" s="41"/>
      <c r="M247" s="41"/>
      <c r="N247" s="41"/>
      <c r="O247" s="41"/>
      <c r="P247" s="41"/>
      <c r="R247" s="168">
        <f t="shared" si="58"/>
        <v>46.38</v>
      </c>
      <c r="S247" s="327">
        <f t="shared" si="59"/>
        <v>1.0000236794124751</v>
      </c>
    </row>
    <row r="248" spans="1:19" ht="15" customHeight="1" x14ac:dyDescent="0.2">
      <c r="B248" s="90"/>
      <c r="R248" s="168">
        <f t="shared" si="58"/>
        <v>61.95</v>
      </c>
      <c r="S248" s="327">
        <f t="shared" si="59"/>
        <v>1.0000236794124739</v>
      </c>
    </row>
    <row r="249" spans="1:19" ht="15" customHeight="1" x14ac:dyDescent="0.2">
      <c r="A249" s="90" t="s">
        <v>95</v>
      </c>
      <c r="B249" s="64" t="s">
        <v>178</v>
      </c>
      <c r="R249" s="168">
        <f t="shared" si="58"/>
        <v>76.3</v>
      </c>
      <c r="S249" s="327">
        <f t="shared" si="59"/>
        <v>1.0000236794124753</v>
      </c>
    </row>
    <row r="250" spans="1:19" ht="15" customHeight="1" x14ac:dyDescent="0.2">
      <c r="R250" s="167">
        <f t="shared" si="58"/>
        <v>90.1</v>
      </c>
      <c r="S250" s="327">
        <f t="shared" si="59"/>
        <v>1.0000236794124737</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4.7</v>
      </c>
      <c r="C257" s="1" t="s">
        <v>0</v>
      </c>
      <c r="D257" s="22"/>
      <c r="E257" s="71">
        <v>1</v>
      </c>
      <c r="F257" s="166">
        <f>G185</f>
        <v>5.2949999999999999</v>
      </c>
      <c r="G257" s="49">
        <f>F257/E257</f>
        <v>5.2949999999999999</v>
      </c>
      <c r="H257" s="178">
        <f>SQRT(12*32.2*G257^2/(4*$B$258*($B$257*56)*$B$256^2))</f>
        <v>0.13807071744431987</v>
      </c>
      <c r="I257" s="718"/>
      <c r="J257" s="178">
        <v>0.13807071744431987</v>
      </c>
      <c r="K257" s="544">
        <v>1</v>
      </c>
      <c r="L257" s="549">
        <f>J257*$L$255</f>
        <v>0.13807071744431987</v>
      </c>
      <c r="M257" s="5">
        <f>(B257*2.20462*25.4*12)</f>
        <v>3158.2504271999996</v>
      </c>
      <c r="N257" s="74">
        <f>L257*B$256*SQRT(4*B$258*M$257/32.2)/12</f>
        <v>5.2948746204798631</v>
      </c>
      <c r="O257" s="218">
        <f>K257*N257</f>
        <v>5.2948746204798631</v>
      </c>
      <c r="Q257" s="218">
        <f t="shared" ref="Q257:Q266" si="60">E157</f>
        <v>5.2949999999999999</v>
      </c>
      <c r="R257" s="327">
        <f>Q257/O257</f>
        <v>1.0000236794124742</v>
      </c>
    </row>
    <row r="258" spans="2:18" ht="15" customHeight="1" x14ac:dyDescent="0.2">
      <c r="B258" s="271">
        <f>D207</f>
        <v>85</v>
      </c>
      <c r="C258" s="77" t="s">
        <v>1</v>
      </c>
      <c r="D258" s="17"/>
      <c r="E258" s="70">
        <v>2</v>
      </c>
      <c r="F258" s="167">
        <f t="shared" ref="F258:F266" si="61">G186</f>
        <v>9.6329999999999991</v>
      </c>
      <c r="G258" s="48">
        <f t="shared" ref="G258:G266" si="62">F258/E258</f>
        <v>4.8164999999999996</v>
      </c>
      <c r="H258" s="179">
        <f t="shared" ref="H258:H266" si="63">SQRT(12*32.2*G258^2/(4*$B$258*($B$257*56)*$B$256^2))</f>
        <v>0.12559350530133456</v>
      </c>
      <c r="I258" s="718"/>
      <c r="J258" s="179">
        <v>0.12559350530133456</v>
      </c>
      <c r="K258" s="545">
        <v>2</v>
      </c>
      <c r="L258" s="550">
        <f t="shared" ref="L258:L266" si="64">J258*$L$255</f>
        <v>0.12559350530133456</v>
      </c>
      <c r="N258" s="73">
        <f t="shared" ref="N258:N266" si="65">L258*B$256*SQRT(4*B$258*M$257/32.2)/12</f>
        <v>4.8163859508104361</v>
      </c>
      <c r="O258" s="219">
        <f t="shared" ref="O258" si="66">K258*N258</f>
        <v>9.6327719016208722</v>
      </c>
      <c r="Q258" s="219">
        <f t="shared" si="60"/>
        <v>9.6329999999999991</v>
      </c>
      <c r="R258" s="327">
        <f t="shared" ref="R258:R266" si="67">Q258/O258</f>
        <v>1.0000236794124742</v>
      </c>
    </row>
    <row r="259" spans="2:18" ht="15" customHeight="1" x14ac:dyDescent="0.2">
      <c r="E259" s="69">
        <v>3</v>
      </c>
      <c r="F259" s="168">
        <f t="shared" si="61"/>
        <v>13.21</v>
      </c>
      <c r="G259" s="47">
        <f t="shared" si="62"/>
        <v>4.4033333333333333</v>
      </c>
      <c r="H259" s="180">
        <f t="shared" si="63"/>
        <v>0.11481990415105227</v>
      </c>
      <c r="I259" s="718"/>
      <c r="J259" s="180">
        <v>0.11481990415105227</v>
      </c>
      <c r="K259" s="546">
        <v>3</v>
      </c>
      <c r="L259" s="551">
        <f t="shared" si="64"/>
        <v>0.11481990415105227</v>
      </c>
      <c r="N259" s="72">
        <f t="shared" si="65"/>
        <v>4.403229067456027</v>
      </c>
      <c r="O259" s="220">
        <f>K259*N259</f>
        <v>13.20968720236808</v>
      </c>
      <c r="Q259" s="220">
        <f t="shared" si="60"/>
        <v>13.21</v>
      </c>
      <c r="R259" s="327">
        <f t="shared" si="67"/>
        <v>1.0000236794124742</v>
      </c>
    </row>
    <row r="260" spans="2:18" ht="15" customHeight="1" x14ac:dyDescent="0.2">
      <c r="E260" s="69">
        <v>4</v>
      </c>
      <c r="F260" s="168">
        <f t="shared" si="61"/>
        <v>16.132000000000001</v>
      </c>
      <c r="G260" s="47">
        <f t="shared" si="62"/>
        <v>4.0330000000000004</v>
      </c>
      <c r="H260" s="180">
        <f t="shared" si="63"/>
        <v>0.10516321122812881</v>
      </c>
      <c r="I260" s="718"/>
      <c r="J260" s="180">
        <v>0.10516321122812881</v>
      </c>
      <c r="K260" s="546">
        <v>4</v>
      </c>
      <c r="L260" s="551">
        <f t="shared" si="64"/>
        <v>0.10516321122812881</v>
      </c>
      <c r="N260" s="72">
        <f t="shared" si="65"/>
        <v>4.0329045031908013</v>
      </c>
      <c r="O260" s="220">
        <f t="shared" ref="O260:O266" si="68">K260*N260</f>
        <v>16.131618012763205</v>
      </c>
      <c r="Q260" s="220">
        <f t="shared" si="60"/>
        <v>16.132000000000001</v>
      </c>
      <c r="R260" s="327">
        <f t="shared" si="67"/>
        <v>1.0000236794124739</v>
      </c>
    </row>
    <row r="261" spans="2:18" ht="15" customHeight="1" x14ac:dyDescent="0.2">
      <c r="E261" s="70">
        <v>5</v>
      </c>
      <c r="F261" s="167">
        <f t="shared" si="61"/>
        <v>18.46</v>
      </c>
      <c r="G261" s="48">
        <f t="shared" si="62"/>
        <v>3.6920000000000002</v>
      </c>
      <c r="H261" s="179">
        <f t="shared" si="63"/>
        <v>9.6271404873357683E-2</v>
      </c>
      <c r="I261" s="718"/>
      <c r="J261" s="179">
        <v>9.6271404873357683E-2</v>
      </c>
      <c r="K261" s="545">
        <v>5</v>
      </c>
      <c r="L261" s="550">
        <f t="shared" si="64"/>
        <v>9.6271404873357683E-2</v>
      </c>
      <c r="N261" s="73">
        <f t="shared" si="65"/>
        <v>3.6919125776792545</v>
      </c>
      <c r="O261" s="219">
        <f t="shared" si="68"/>
        <v>18.459562888396274</v>
      </c>
      <c r="Q261" s="219">
        <f t="shared" si="60"/>
        <v>18.46</v>
      </c>
      <c r="R261" s="327">
        <f t="shared" si="67"/>
        <v>1.0000236794124742</v>
      </c>
    </row>
    <row r="262" spans="2:18" ht="15" customHeight="1" x14ac:dyDescent="0.2">
      <c r="E262" s="69">
        <v>10</v>
      </c>
      <c r="F262" s="168">
        <f t="shared" si="61"/>
        <v>28.83</v>
      </c>
      <c r="G262" s="47">
        <f t="shared" si="62"/>
        <v>2.883</v>
      </c>
      <c r="H262" s="180">
        <f t="shared" si="63"/>
        <v>7.5176180999428549E-2</v>
      </c>
      <c r="I262" s="718"/>
      <c r="J262" s="180">
        <v>7.5176180999428549E-2</v>
      </c>
      <c r="K262" s="547">
        <v>10</v>
      </c>
      <c r="L262" s="551">
        <f t="shared" si="64"/>
        <v>7.5176180999428549E-2</v>
      </c>
      <c r="M262" s="41"/>
      <c r="N262" s="76">
        <f t="shared" si="65"/>
        <v>2.8829317338703393</v>
      </c>
      <c r="O262" s="221">
        <f t="shared" si="68"/>
        <v>28.829317338703394</v>
      </c>
      <c r="Q262" s="221">
        <f t="shared" si="60"/>
        <v>28.83</v>
      </c>
      <c r="R262" s="327">
        <f t="shared" si="67"/>
        <v>1.0000236794124739</v>
      </c>
    </row>
    <row r="263" spans="2:18" ht="15" customHeight="1" x14ac:dyDescent="0.2">
      <c r="E263" s="69">
        <v>20</v>
      </c>
      <c r="F263" s="168">
        <f t="shared" si="61"/>
        <v>46.38</v>
      </c>
      <c r="G263" s="47">
        <f t="shared" si="62"/>
        <v>2.319</v>
      </c>
      <c r="H263" s="180">
        <f t="shared" si="63"/>
        <v>6.0469498348135552E-2</v>
      </c>
      <c r="I263" s="718"/>
      <c r="J263" s="180">
        <v>6.0469498348135552E-2</v>
      </c>
      <c r="K263" s="546">
        <v>20</v>
      </c>
      <c r="L263" s="551">
        <f t="shared" si="64"/>
        <v>6.0469498348135552E-2</v>
      </c>
      <c r="N263" s="72">
        <f t="shared" si="65"/>
        <v>2.3189450887427387</v>
      </c>
      <c r="O263" s="220">
        <f t="shared" si="68"/>
        <v>46.378901774854775</v>
      </c>
      <c r="Q263" s="220">
        <f t="shared" si="60"/>
        <v>46.38</v>
      </c>
      <c r="R263" s="327">
        <f t="shared" si="67"/>
        <v>1.0000236794124742</v>
      </c>
    </row>
    <row r="264" spans="2:18" ht="15" customHeight="1" x14ac:dyDescent="0.2">
      <c r="E264" s="69">
        <v>30</v>
      </c>
      <c r="F264" s="168">
        <f t="shared" si="61"/>
        <v>61.95</v>
      </c>
      <c r="G264" s="47">
        <f t="shared" si="62"/>
        <v>2.0649999999999999</v>
      </c>
      <c r="H264" s="180">
        <f t="shared" si="63"/>
        <v>5.3846276019361761E-2</v>
      </c>
      <c r="I264" s="718"/>
      <c r="J264" s="180">
        <v>5.3846276019361761E-2</v>
      </c>
      <c r="K264" s="546">
        <v>30</v>
      </c>
      <c r="L264" s="551">
        <f t="shared" si="64"/>
        <v>5.3846276019361761E-2</v>
      </c>
      <c r="N264" s="72">
        <f t="shared" si="65"/>
        <v>2.0649511031710892</v>
      </c>
      <c r="O264" s="220">
        <f t="shared" si="68"/>
        <v>61.948533095132674</v>
      </c>
      <c r="Q264" s="220">
        <f t="shared" si="60"/>
        <v>61.95</v>
      </c>
      <c r="R264" s="327">
        <f t="shared" si="67"/>
        <v>1.0000236794124742</v>
      </c>
    </row>
    <row r="265" spans="2:18" ht="15" customHeight="1" x14ac:dyDescent="0.2">
      <c r="E265" s="69">
        <v>40</v>
      </c>
      <c r="F265" s="168">
        <f t="shared" si="61"/>
        <v>76.3</v>
      </c>
      <c r="G265" s="47">
        <f t="shared" si="62"/>
        <v>1.9075</v>
      </c>
      <c r="H265" s="180">
        <f t="shared" si="63"/>
        <v>4.973935666195281E-2</v>
      </c>
      <c r="I265" s="718"/>
      <c r="J265" s="180">
        <v>4.973935666195281E-2</v>
      </c>
      <c r="K265" s="546">
        <v>40</v>
      </c>
      <c r="L265" s="551">
        <f t="shared" si="64"/>
        <v>4.973935666195281E-2</v>
      </c>
      <c r="N265" s="72">
        <f t="shared" si="65"/>
        <v>1.9074548325902436</v>
      </c>
      <c r="O265" s="220">
        <f t="shared" si="68"/>
        <v>76.29819330360975</v>
      </c>
      <c r="Q265" s="220">
        <f t="shared" si="60"/>
        <v>76.3</v>
      </c>
      <c r="R265" s="327">
        <f t="shared" si="67"/>
        <v>1.0000236794124739</v>
      </c>
    </row>
    <row r="266" spans="2:18" ht="15" customHeight="1" thickBot="1" x14ac:dyDescent="0.25">
      <c r="E266" s="70">
        <v>50</v>
      </c>
      <c r="F266" s="167">
        <f t="shared" si="61"/>
        <v>90.1</v>
      </c>
      <c r="G266" s="48">
        <f t="shared" si="62"/>
        <v>1.8019999999999998</v>
      </c>
      <c r="H266" s="179">
        <f t="shared" si="63"/>
        <v>4.6988372584450308E-2</v>
      </c>
      <c r="I266" s="718"/>
      <c r="J266" s="179">
        <v>4.6988372584450308E-2</v>
      </c>
      <c r="K266" s="555">
        <v>50</v>
      </c>
      <c r="L266" s="556">
        <f t="shared" si="64"/>
        <v>4.6988372584450308E-2</v>
      </c>
      <c r="N266" s="557">
        <f t="shared" si="65"/>
        <v>1.8019573307091052</v>
      </c>
      <c r="O266" s="219">
        <f t="shared" si="68"/>
        <v>90.097866535455267</v>
      </c>
      <c r="Q266" s="219">
        <f t="shared" si="60"/>
        <v>90.1</v>
      </c>
      <c r="R266" s="327">
        <f t="shared" si="67"/>
        <v>1.0000236794124742</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1"/>
      <c r="C274" s="1"/>
      <c r="D274" s="1"/>
      <c r="E274" s="1"/>
      <c r="F274" s="1"/>
      <c r="G274" s="1"/>
      <c r="H274" s="1"/>
      <c r="I274" s="1"/>
      <c r="J274" s="1"/>
      <c r="K274" s="1"/>
      <c r="L274" s="1"/>
      <c r="M274" s="1"/>
      <c r="N274" s="1"/>
      <c r="O274" s="334" t="s">
        <v>195</v>
      </c>
      <c r="P274" s="687">
        <v>16</v>
      </c>
    </row>
    <row r="275" spans="1:16" ht="15" customHeight="1" x14ac:dyDescent="0.2">
      <c r="A275" s="35"/>
      <c r="B275" s="1"/>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3694s [we are using this c-zeta for WP national shock ]</v>
      </c>
      <c r="C277" s="1"/>
      <c r="D277" s="1"/>
      <c r="E277" s="1"/>
      <c r="F277" s="1"/>
      <c r="G277" s="1"/>
      <c r="H277" s="1"/>
      <c r="I277" s="1"/>
      <c r="J277" s="1"/>
      <c r="K277" s="276"/>
      <c r="L277" s="1"/>
      <c r="M277" s="1"/>
      <c r="N277" s="1"/>
      <c r="O277" s="330"/>
      <c r="P277" s="22"/>
    </row>
    <row r="278" spans="1:16" ht="15" customHeight="1" x14ac:dyDescent="0.2">
      <c r="A278" s="274"/>
      <c r="B278" s="275" t="str">
        <f>B10</f>
        <v xml:space="preserve"> 22 SXF NTL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 xml:space="preserve"> Generic MXT c-zeta curve</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6" ht="15" customHeight="1" x14ac:dyDescent="0.2">
      <c r="A280" s="274"/>
      <c r="B280" s="275" t="str">
        <f>B12</f>
        <v xml:space="preserve"> national-psh10</v>
      </c>
      <c r="C280" s="1"/>
      <c r="D280" s="275" t="str">
        <f>D12</f>
        <v xml:space="preserve"> hsca cone</v>
      </c>
      <c r="E280" s="1"/>
      <c r="F280" s="1"/>
      <c r="G280" s="1"/>
      <c r="H280" s="1"/>
      <c r="I280" s="1"/>
      <c r="J280" s="1"/>
      <c r="K280" s="276"/>
      <c r="L280" s="1"/>
      <c r="M280" s="1"/>
      <c r="N280" s="1"/>
      <c r="O280" s="330"/>
      <c r="P280" s="22"/>
    </row>
    <row r="281" spans="1:16" ht="15" customHeight="1" x14ac:dyDescent="0.2">
      <c r="A281" s="35"/>
      <c r="B281" s="275" t="str">
        <f>B13</f>
        <v>TRENDLINE</v>
      </c>
      <c r="C281" s="275" t="str">
        <f>C13</f>
        <v>v116</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4.7</v>
      </c>
      <c r="D282" s="1"/>
      <c r="E282" s="1"/>
      <c r="F282" s="1"/>
      <c r="G282" s="1"/>
      <c r="H282" s="1"/>
      <c r="I282" s="804" t="s">
        <v>670</v>
      </c>
      <c r="J282" s="1"/>
      <c r="K282" s="1"/>
      <c r="L282" s="1"/>
      <c r="M282" s="1"/>
      <c r="N282" s="1"/>
      <c r="O282" s="1"/>
      <c r="P282" s="22"/>
    </row>
    <row r="283" spans="1:16" ht="15" customHeight="1" x14ac:dyDescent="0.2">
      <c r="A283" s="11"/>
      <c r="B283" s="442" t="s">
        <v>202</v>
      </c>
      <c r="C283" s="275"/>
      <c r="D283" s="1"/>
      <c r="E283" s="1"/>
      <c r="F283" s="1"/>
      <c r="G283" s="1"/>
      <c r="H283" s="1"/>
      <c r="I283" s="883"/>
      <c r="J283" s="445"/>
      <c r="K283" s="1"/>
      <c r="L283" s="1"/>
      <c r="M283" s="1"/>
      <c r="N283" s="1"/>
      <c r="O283" s="1"/>
      <c r="P283" s="22"/>
    </row>
    <row r="284" spans="1:16" ht="15" customHeight="1" x14ac:dyDescent="0.2">
      <c r="A284" s="35"/>
      <c r="B284" s="1"/>
      <c r="C284" s="1"/>
      <c r="D284" s="1"/>
      <c r="E284" s="1"/>
      <c r="F284" s="1"/>
      <c r="G284" s="1"/>
      <c r="H284" s="446" t="str">
        <f>J155</f>
        <v xml:space="preserve"> 15-15-15</v>
      </c>
      <c r="I284" s="1"/>
      <c r="J284" s="1"/>
      <c r="K284" s="1"/>
      <c r="L284" s="1"/>
      <c r="M284" s="1"/>
      <c r="N284" s="1"/>
      <c r="O284" s="1"/>
      <c r="P284" s="22"/>
    </row>
    <row r="285" spans="1:16" ht="15" customHeight="1" x14ac:dyDescent="0.2">
      <c r="A285" s="300" t="s">
        <v>151</v>
      </c>
      <c r="B285" s="448">
        <f>D206</f>
        <v>4.7</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162">
        <f t="shared" ref="C288:E297" si="69">C185</f>
        <v>55.592142857142875</v>
      </c>
      <c r="D288" s="162">
        <f t="shared" si="69"/>
        <v>133.59214285714287</v>
      </c>
      <c r="E288" s="162">
        <f t="shared" si="69"/>
        <v>40.592142857142868</v>
      </c>
      <c r="F288" s="162">
        <f>G288+J288</f>
        <v>46.297142857142866</v>
      </c>
      <c r="G288" s="162">
        <f t="shared" ref="G288:H297" si="70">F185</f>
        <v>35.297142857142866</v>
      </c>
      <c r="H288" s="887">
        <f t="shared" si="70"/>
        <v>5.2949999999999999</v>
      </c>
      <c r="I288" s="888">
        <f>M185</f>
        <v>82</v>
      </c>
      <c r="J288" s="162">
        <f t="shared" ref="J288:J297" si="71">L185</f>
        <v>11</v>
      </c>
      <c r="K288" s="886">
        <f>H288/G288</f>
        <v>0.1500121418164157</v>
      </c>
      <c r="L288" s="889">
        <f t="shared" ref="L288:L297" si="72">F205</f>
        <v>1.4496371677743731</v>
      </c>
      <c r="M288" s="889">
        <f t="shared" ref="M288:M297" si="73">H227</f>
        <v>0.92039694769034286</v>
      </c>
      <c r="N288" s="889">
        <f t="shared" ref="N288:N297" si="74">H257</f>
        <v>0.13807071744431987</v>
      </c>
      <c r="O288" s="40"/>
      <c r="P288" s="890">
        <f>L288</f>
        <v>1.4496371677743731</v>
      </c>
    </row>
    <row r="289" spans="1:22" ht="15" customHeight="1" x14ac:dyDescent="0.2">
      <c r="A289" s="35"/>
      <c r="B289" s="449">
        <v>2</v>
      </c>
      <c r="C289" s="127">
        <f t="shared" si="69"/>
        <v>88.844428571428551</v>
      </c>
      <c r="D289" s="127">
        <f t="shared" si="69"/>
        <v>166.84442857142855</v>
      </c>
      <c r="E289" s="127">
        <f t="shared" si="69"/>
        <v>73.844428571428551</v>
      </c>
      <c r="F289" s="127">
        <f t="shared" ref="F289:F297" si="75">G289+J289</f>
        <v>75.211428571428556</v>
      </c>
      <c r="G289" s="127">
        <f t="shared" si="70"/>
        <v>64.211428571428556</v>
      </c>
      <c r="H289" s="460">
        <f t="shared" si="70"/>
        <v>9.6329999999999991</v>
      </c>
      <c r="I289" s="461">
        <f t="shared" ref="I289:I297" si="76">M186</f>
        <v>82</v>
      </c>
      <c r="J289" s="127">
        <f t="shared" si="71"/>
        <v>11</v>
      </c>
      <c r="K289" s="885">
        <f t="shared" ref="K289:K297" si="77">H289/G289</f>
        <v>0.15002002313784821</v>
      </c>
      <c r="L289" s="585">
        <f t="shared" si="72"/>
        <v>1.1583668049797988</v>
      </c>
      <c r="M289" s="585">
        <f t="shared" si="73"/>
        <v>0.83717828243454573</v>
      </c>
      <c r="N289" s="585">
        <f t="shared" si="74"/>
        <v>0.12559350530133456</v>
      </c>
      <c r="O289" s="1"/>
      <c r="P289" s="469">
        <f t="shared" ref="P289:P297" si="78">L289</f>
        <v>1.1583668049797988</v>
      </c>
    </row>
    <row r="290" spans="1:22" ht="15" customHeight="1" x14ac:dyDescent="0.2">
      <c r="A290" s="35"/>
      <c r="B290" s="449">
        <v>3</v>
      </c>
      <c r="C290" s="463">
        <f t="shared" si="69"/>
        <v>116.29285714285714</v>
      </c>
      <c r="D290" s="463">
        <f t="shared" si="69"/>
        <v>194.29285714285714</v>
      </c>
      <c r="E290" s="463">
        <f t="shared" si="69"/>
        <v>101.29285714285714</v>
      </c>
      <c r="F290" s="463">
        <f t="shared" si="75"/>
        <v>99.082857142857151</v>
      </c>
      <c r="G290" s="463">
        <f t="shared" si="70"/>
        <v>88.082857142857151</v>
      </c>
      <c r="H290" s="464">
        <f t="shared" si="70"/>
        <v>13.21</v>
      </c>
      <c r="I290" s="465">
        <f t="shared" si="76"/>
        <v>82</v>
      </c>
      <c r="J290" s="463">
        <f t="shared" si="71"/>
        <v>11</v>
      </c>
      <c r="K290" s="886">
        <f t="shared" si="77"/>
        <v>0.14997242855752699</v>
      </c>
      <c r="L290" s="586">
        <f t="shared" si="72"/>
        <v>1.0108289852768919</v>
      </c>
      <c r="M290" s="586">
        <f t="shared" si="73"/>
        <v>0.76560675355743291</v>
      </c>
      <c r="N290" s="586">
        <f t="shared" si="74"/>
        <v>0.11481990415105227</v>
      </c>
      <c r="O290" s="1"/>
      <c r="P290" s="470">
        <f t="shared" si="78"/>
        <v>1.0108289852768919</v>
      </c>
    </row>
    <row r="291" spans="1:22" ht="15" customHeight="1" x14ac:dyDescent="0.2">
      <c r="A291" s="35"/>
      <c r="B291" s="449">
        <v>4</v>
      </c>
      <c r="C291" s="463">
        <f t="shared" si="69"/>
        <v>138.64342857142861</v>
      </c>
      <c r="D291" s="463">
        <f t="shared" si="69"/>
        <v>216.64342857142861</v>
      </c>
      <c r="E291" s="463">
        <f t="shared" si="69"/>
        <v>123.6434285714286</v>
      </c>
      <c r="F291" s="463">
        <f t="shared" si="75"/>
        <v>118.5114285714286</v>
      </c>
      <c r="G291" s="463">
        <f t="shared" si="70"/>
        <v>107.5114285714286</v>
      </c>
      <c r="H291" s="464">
        <f t="shared" si="70"/>
        <v>16.132000000000001</v>
      </c>
      <c r="I291" s="465">
        <f t="shared" si="76"/>
        <v>82</v>
      </c>
      <c r="J291" s="463">
        <f t="shared" si="71"/>
        <v>11</v>
      </c>
      <c r="K291" s="886">
        <f t="shared" si="77"/>
        <v>0.15004916420845624</v>
      </c>
      <c r="L291" s="586">
        <f t="shared" si="72"/>
        <v>0.90382676757616087</v>
      </c>
      <c r="M291" s="586">
        <f t="shared" si="73"/>
        <v>0.70085836054395156</v>
      </c>
      <c r="N291" s="586">
        <f t="shared" si="74"/>
        <v>0.10516321122812881</v>
      </c>
      <c r="O291" s="1"/>
      <c r="P291" s="470">
        <f t="shared" si="78"/>
        <v>0.90382676757616087</v>
      </c>
    </row>
    <row r="292" spans="1:22" ht="15" customHeight="1" x14ac:dyDescent="0.2">
      <c r="A292" s="35"/>
      <c r="B292" s="449">
        <v>5</v>
      </c>
      <c r="C292" s="127">
        <f t="shared" si="69"/>
        <v>156.55714285714288</v>
      </c>
      <c r="D292" s="127">
        <f t="shared" si="69"/>
        <v>234.55714285714288</v>
      </c>
      <c r="E292" s="127">
        <f t="shared" si="69"/>
        <v>141.55714285714288</v>
      </c>
      <c r="F292" s="127">
        <f t="shared" si="75"/>
        <v>134.09714285714287</v>
      </c>
      <c r="G292" s="127">
        <f t="shared" si="70"/>
        <v>123.09714285714287</v>
      </c>
      <c r="H292" s="460">
        <f t="shared" si="70"/>
        <v>18.46</v>
      </c>
      <c r="I292" s="461">
        <f t="shared" si="76"/>
        <v>82</v>
      </c>
      <c r="J292" s="127">
        <f t="shared" si="71"/>
        <v>11</v>
      </c>
      <c r="K292" s="885">
        <f t="shared" si="77"/>
        <v>0.14996286324389563</v>
      </c>
      <c r="L292" s="585">
        <f t="shared" si="72"/>
        <v>0.81648607699645925</v>
      </c>
      <c r="M292" s="585">
        <f t="shared" si="73"/>
        <v>0.64196830329109156</v>
      </c>
      <c r="N292" s="585">
        <f t="shared" si="74"/>
        <v>9.6271404873357683E-2</v>
      </c>
      <c r="O292" s="1"/>
      <c r="P292" s="469">
        <f>L292</f>
        <v>0.81648607699645925</v>
      </c>
    </row>
    <row r="293" spans="1:22" ht="15" customHeight="1" x14ac:dyDescent="0.2">
      <c r="A293" s="35"/>
      <c r="B293" s="449">
        <v>10</v>
      </c>
      <c r="C293" s="463">
        <f t="shared" si="69"/>
        <v>236.02857142857147</v>
      </c>
      <c r="D293" s="463">
        <f t="shared" si="69"/>
        <v>314.02857142857147</v>
      </c>
      <c r="E293" s="463">
        <f t="shared" si="69"/>
        <v>221.02857142857147</v>
      </c>
      <c r="F293" s="463">
        <f t="shared" si="75"/>
        <v>203.19857142857146</v>
      </c>
      <c r="G293" s="463">
        <f t="shared" si="70"/>
        <v>192.19857142857146</v>
      </c>
      <c r="H293" s="464">
        <f t="shared" si="70"/>
        <v>28.83</v>
      </c>
      <c r="I293" s="465">
        <f t="shared" si="76"/>
        <v>82</v>
      </c>
      <c r="J293" s="463">
        <f t="shared" si="71"/>
        <v>11</v>
      </c>
      <c r="K293" s="886">
        <f t="shared" si="77"/>
        <v>0.15000111491835078</v>
      </c>
      <c r="L293" s="586">
        <f t="shared" si="72"/>
        <v>0.615475087331668</v>
      </c>
      <c r="M293" s="586">
        <f t="shared" si="73"/>
        <v>0.50117081489926751</v>
      </c>
      <c r="N293" s="586">
        <f t="shared" si="74"/>
        <v>7.5176180999428549E-2</v>
      </c>
      <c r="O293" s="1"/>
      <c r="P293" s="470">
        <f t="shared" si="78"/>
        <v>0.615475087331668</v>
      </c>
    </row>
    <row r="294" spans="1:22" ht="15" customHeight="1" x14ac:dyDescent="0.2">
      <c r="A294" s="35"/>
      <c r="B294" s="449">
        <v>20</v>
      </c>
      <c r="C294" s="463">
        <f t="shared" si="69"/>
        <v>370.48571428571432</v>
      </c>
      <c r="D294" s="463">
        <f t="shared" si="69"/>
        <v>448.48571428571432</v>
      </c>
      <c r="E294" s="463">
        <f t="shared" si="69"/>
        <v>355.48571428571432</v>
      </c>
      <c r="F294" s="463">
        <f t="shared" si="75"/>
        <v>320.10571428571433</v>
      </c>
      <c r="G294" s="463">
        <f t="shared" si="70"/>
        <v>309.10571428571433</v>
      </c>
      <c r="H294" s="464">
        <f t="shared" si="70"/>
        <v>46.38</v>
      </c>
      <c r="I294" s="465">
        <f t="shared" si="76"/>
        <v>82</v>
      </c>
      <c r="J294" s="463">
        <f t="shared" si="71"/>
        <v>11</v>
      </c>
      <c r="K294" s="886">
        <f t="shared" si="77"/>
        <v>0.15004575411093754</v>
      </c>
      <c r="L294" s="586">
        <f t="shared" si="72"/>
        <v>0.48304475592723267</v>
      </c>
      <c r="M294" s="586">
        <f t="shared" si="73"/>
        <v>0.40300706078911736</v>
      </c>
      <c r="N294" s="586">
        <f t="shared" si="74"/>
        <v>6.0469498348135552E-2</v>
      </c>
      <c r="O294" s="1"/>
      <c r="P294" s="470">
        <f t="shared" si="78"/>
        <v>0.48304475592723267</v>
      </c>
    </row>
    <row r="295" spans="1:22" ht="15" customHeight="1" x14ac:dyDescent="0.2">
      <c r="A295" s="35"/>
      <c r="B295" s="449">
        <v>30</v>
      </c>
      <c r="C295" s="463">
        <f t="shared" si="69"/>
        <v>489.94142857142856</v>
      </c>
      <c r="D295" s="463">
        <f t="shared" si="69"/>
        <v>567.94142857142856</v>
      </c>
      <c r="E295" s="463">
        <f t="shared" si="69"/>
        <v>474.94142857142856</v>
      </c>
      <c r="F295" s="463">
        <f t="shared" si="75"/>
        <v>423.99142857142857</v>
      </c>
      <c r="G295" s="463">
        <f t="shared" si="70"/>
        <v>412.99142857142857</v>
      </c>
      <c r="H295" s="464">
        <f t="shared" si="70"/>
        <v>61.95</v>
      </c>
      <c r="I295" s="465">
        <f t="shared" si="76"/>
        <v>82</v>
      </c>
      <c r="J295" s="463">
        <f t="shared" si="71"/>
        <v>11</v>
      </c>
      <c r="K295" s="886">
        <f t="shared" si="77"/>
        <v>0.15000311317426165</v>
      </c>
      <c r="L295" s="586">
        <f t="shared" si="72"/>
        <v>0.42586192243913457</v>
      </c>
      <c r="M295" s="586">
        <f t="shared" si="73"/>
        <v>0.35896772326856607</v>
      </c>
      <c r="N295" s="586">
        <f t="shared" si="74"/>
        <v>5.3846276019361761E-2</v>
      </c>
      <c r="O295" s="1"/>
      <c r="P295" s="470">
        <f t="shared" si="78"/>
        <v>0.42586192243913457</v>
      </c>
    </row>
    <row r="296" spans="1:22" ht="15" customHeight="1" x14ac:dyDescent="0.2">
      <c r="A296" s="35"/>
      <c r="B296" s="449">
        <v>40</v>
      </c>
      <c r="C296" s="463">
        <f t="shared" si="69"/>
        <v>600.90571428571423</v>
      </c>
      <c r="D296" s="463">
        <f t="shared" si="69"/>
        <v>678.90571428571423</v>
      </c>
      <c r="E296" s="463">
        <f t="shared" si="69"/>
        <v>584.90571428571423</v>
      </c>
      <c r="F296" s="463">
        <f t="shared" si="75"/>
        <v>519.60571428571427</v>
      </c>
      <c r="G296" s="463">
        <f t="shared" si="70"/>
        <v>508.60571428571427</v>
      </c>
      <c r="H296" s="464">
        <f t="shared" si="70"/>
        <v>76.3</v>
      </c>
      <c r="I296" s="465">
        <f t="shared" si="76"/>
        <v>83</v>
      </c>
      <c r="J296" s="463">
        <f t="shared" si="71"/>
        <v>11</v>
      </c>
      <c r="K296" s="886">
        <f t="shared" si="77"/>
        <v>0.15001797631620339</v>
      </c>
      <c r="L296" s="586">
        <f t="shared" si="72"/>
        <v>0.39173488059052891</v>
      </c>
      <c r="M296" s="586">
        <f t="shared" si="73"/>
        <v>0.33155597671250864</v>
      </c>
      <c r="N296" s="586">
        <f t="shared" si="74"/>
        <v>4.973935666195281E-2</v>
      </c>
      <c r="O296" s="1"/>
      <c r="P296" s="470">
        <f t="shared" si="78"/>
        <v>0.39173488059052891</v>
      </c>
    </row>
    <row r="297" spans="1:22" ht="15" customHeight="1" x14ac:dyDescent="0.2">
      <c r="A297" s="35"/>
      <c r="B297" s="449">
        <v>50</v>
      </c>
      <c r="C297" s="127">
        <f t="shared" si="69"/>
        <v>707.79857142857145</v>
      </c>
      <c r="D297" s="127">
        <f t="shared" si="69"/>
        <v>785.79857142857145</v>
      </c>
      <c r="E297" s="127">
        <f t="shared" si="69"/>
        <v>690.79857142857145</v>
      </c>
      <c r="F297" s="127">
        <f t="shared" si="75"/>
        <v>611.69857142857143</v>
      </c>
      <c r="G297" s="127">
        <f t="shared" si="70"/>
        <v>600.69857142857143</v>
      </c>
      <c r="H297" s="460">
        <f t="shared" si="70"/>
        <v>90.1</v>
      </c>
      <c r="I297" s="461">
        <f t="shared" si="76"/>
        <v>84</v>
      </c>
      <c r="J297" s="127">
        <f t="shared" si="71"/>
        <v>11</v>
      </c>
      <c r="K297" s="885">
        <f t="shared" si="77"/>
        <v>0.14999203308528877</v>
      </c>
      <c r="L297" s="585">
        <f t="shared" si="72"/>
        <v>0.36913529995673744</v>
      </c>
      <c r="M297" s="585">
        <f t="shared" si="73"/>
        <v>0.31327245599592402</v>
      </c>
      <c r="N297" s="585">
        <f t="shared" si="74"/>
        <v>4.6988372584450308E-2</v>
      </c>
      <c r="O297" s="1"/>
      <c r="P297" s="469">
        <f t="shared" si="78"/>
        <v>0.36913529995673744</v>
      </c>
    </row>
    <row r="298" spans="1:22" ht="15" customHeight="1" x14ac:dyDescent="0.2">
      <c r="A298" s="35"/>
      <c r="B298" s="163"/>
      <c r="C298" s="162"/>
      <c r="D298" s="162"/>
      <c r="E298" s="162"/>
      <c r="F298" s="162"/>
      <c r="G298" s="162"/>
      <c r="H298" s="887"/>
      <c r="I298" s="888"/>
      <c r="J298" s="162"/>
      <c r="K298" s="886"/>
      <c r="L298" s="889"/>
      <c r="M298" s="889"/>
      <c r="N298" s="889"/>
      <c r="O298" s="40"/>
      <c r="P298" s="890"/>
    </row>
    <row r="299" spans="1:22" ht="15" customHeight="1" x14ac:dyDescent="0.2">
      <c r="A299" s="35"/>
      <c r="B299" s="1"/>
      <c r="C299" s="1"/>
      <c r="D299" s="1"/>
      <c r="E299" s="1"/>
      <c r="F299" s="1"/>
      <c r="G299" s="689" t="s">
        <v>526</v>
      </c>
      <c r="H299" s="28" t="s">
        <v>660</v>
      </c>
      <c r="J299" s="1"/>
      <c r="K299" s="28" t="s">
        <v>654</v>
      </c>
      <c r="L299" s="1"/>
      <c r="P299" s="22"/>
    </row>
    <row r="300" spans="1:22" ht="15" customHeight="1" x14ac:dyDescent="0.2">
      <c r="A300" s="35"/>
      <c r="B300" s="1"/>
      <c r="C300" s="1"/>
      <c r="D300" s="893" t="s">
        <v>539</v>
      </c>
      <c r="J300" s="767"/>
      <c r="K300" s="28" t="s">
        <v>648</v>
      </c>
      <c r="P300" s="22"/>
    </row>
    <row r="301" spans="1:22" ht="15" customHeight="1" x14ac:dyDescent="0.2">
      <c r="A301" s="35"/>
      <c r="B301" s="1"/>
      <c r="C301" s="891"/>
      <c r="D301" s="891"/>
      <c r="E301" s="891"/>
      <c r="F301" s="891"/>
      <c r="G301" s="57"/>
      <c r="H301" s="891"/>
      <c r="I301" s="891"/>
      <c r="J301" s="891"/>
      <c r="K301" s="28" t="s">
        <v>656</v>
      </c>
      <c r="P301" s="892"/>
    </row>
    <row r="302" spans="1:22" ht="15" customHeight="1" x14ac:dyDescent="0.2">
      <c r="A302" s="35"/>
      <c r="B302" s="1"/>
      <c r="C302" s="891"/>
      <c r="D302" s="891"/>
      <c r="E302" s="891"/>
      <c r="F302" s="891"/>
      <c r="G302" s="57"/>
      <c r="H302" s="891"/>
      <c r="I302" s="891"/>
      <c r="J302" s="891"/>
      <c r="K302" s="28" t="s">
        <v>655</v>
      </c>
      <c r="P302" s="892"/>
    </row>
    <row r="303" spans="1:22" ht="15" customHeight="1" x14ac:dyDescent="0.2">
      <c r="A303" s="35"/>
      <c r="D303" s="891"/>
      <c r="E303" s="891"/>
      <c r="F303" s="891"/>
      <c r="G303" s="896" t="s">
        <v>639</v>
      </c>
      <c r="H303" s="897"/>
      <c r="I303" s="896" t="s">
        <v>640</v>
      </c>
      <c r="J303" s="896" t="s">
        <v>333</v>
      </c>
      <c r="K303" s="902" t="s">
        <v>146</v>
      </c>
      <c r="L303" s="902" t="s">
        <v>646</v>
      </c>
      <c r="P303" s="892"/>
      <c r="R303" s="1"/>
      <c r="S303" s="491" t="s">
        <v>531</v>
      </c>
      <c r="T303" s="280"/>
      <c r="U303" s="1"/>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R304" s="1"/>
      <c r="S304" s="491" t="s">
        <v>532</v>
      </c>
      <c r="T304" s="1"/>
      <c r="U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R305" s="1"/>
      <c r="S305" s="491" t="s">
        <v>533</v>
      </c>
      <c r="T305" s="1"/>
      <c r="U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R306" s="1"/>
      <c r="S306" s="491" t="s">
        <v>534</v>
      </c>
      <c r="T306" s="1"/>
      <c r="U306" s="1"/>
      <c r="V306" s="1"/>
    </row>
    <row r="307" spans="1:22" ht="15" customHeight="1" x14ac:dyDescent="0.2">
      <c r="A307" s="35"/>
      <c r="B307" s="1"/>
      <c r="C307" s="891"/>
      <c r="D307" s="891"/>
      <c r="E307" s="891"/>
      <c r="F307" s="891"/>
      <c r="G307" s="900" t="s">
        <v>637</v>
      </c>
      <c r="H307" s="901"/>
      <c r="I307" s="901"/>
      <c r="J307" s="901"/>
      <c r="P307" s="892"/>
      <c r="R307" s="1"/>
      <c r="S307" s="491" t="s">
        <v>535</v>
      </c>
      <c r="T307" s="1"/>
      <c r="U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R308" s="1"/>
      <c r="S308" s="491" t="s">
        <v>584</v>
      </c>
      <c r="T308" s="1"/>
      <c r="U308" s="1"/>
      <c r="V308" s="1"/>
    </row>
    <row r="309" spans="1:22" ht="15" customHeight="1" x14ac:dyDescent="0.2">
      <c r="A309" s="35"/>
      <c r="B309" s="1"/>
      <c r="C309" s="891"/>
      <c r="D309" s="891"/>
      <c r="E309" s="891"/>
      <c r="F309" s="891"/>
      <c r="G309" s="898"/>
      <c r="H309" s="899"/>
      <c r="I309" s="898"/>
      <c r="J309" s="898"/>
      <c r="K309" s="898" t="s">
        <v>358</v>
      </c>
      <c r="L309" s="898" t="s">
        <v>651</v>
      </c>
      <c r="M309" t="s">
        <v>650</v>
      </c>
      <c r="P309" s="892"/>
      <c r="R309" s="1"/>
      <c r="S309" s="491"/>
      <c r="T309" s="1"/>
      <c r="U309" s="1"/>
      <c r="V309" s="1"/>
    </row>
    <row r="310" spans="1:22" ht="15" customHeight="1" x14ac:dyDescent="0.2">
      <c r="A310" s="35"/>
      <c r="B310" s="1"/>
      <c r="C310" s="891"/>
      <c r="D310" s="891"/>
      <c r="E310" s="56"/>
      <c r="G310" s="898" t="s">
        <v>645</v>
      </c>
      <c r="H310" s="899"/>
      <c r="I310" s="898" t="s">
        <v>640</v>
      </c>
      <c r="J310" s="898" t="s">
        <v>334</v>
      </c>
      <c r="K310" s="898" t="s">
        <v>266</v>
      </c>
      <c r="L310" s="903" t="s">
        <v>647</v>
      </c>
      <c r="M310" s="903" t="s">
        <v>649</v>
      </c>
      <c r="P310" s="892"/>
      <c r="R310" s="28" t="s">
        <v>633</v>
      </c>
      <c r="S310" s="491" t="s">
        <v>635</v>
      </c>
      <c r="T310" s="1"/>
      <c r="U310" s="1"/>
      <c r="V310" s="1"/>
    </row>
    <row r="311" spans="1:22" ht="15" customHeight="1" x14ac:dyDescent="0.2">
      <c r="A311" s="35"/>
      <c r="B311" s="1"/>
      <c r="C311" s="891"/>
      <c r="D311" s="891"/>
      <c r="E311" s="56"/>
      <c r="G311" s="898"/>
      <c r="H311" s="899"/>
      <c r="I311" s="898"/>
      <c r="J311" s="898"/>
      <c r="K311" s="898" t="s">
        <v>358</v>
      </c>
      <c r="L311" s="898" t="s">
        <v>651</v>
      </c>
      <c r="M311" t="s">
        <v>650</v>
      </c>
      <c r="P311" s="892"/>
      <c r="R311" s="28"/>
      <c r="S311" s="491"/>
      <c r="T311" s="1"/>
      <c r="U311" s="1"/>
      <c r="V311" s="1"/>
    </row>
    <row r="312" spans="1:22" ht="15" customHeight="1" x14ac:dyDescent="0.2">
      <c r="A312" s="35"/>
      <c r="B312" s="1"/>
      <c r="C312" s="891"/>
      <c r="D312" s="891"/>
      <c r="E312" s="56"/>
      <c r="G312" s="898" t="s">
        <v>671</v>
      </c>
      <c r="H312" s="899"/>
      <c r="I312" s="898" t="s">
        <v>640</v>
      </c>
      <c r="J312" s="898" t="s">
        <v>334</v>
      </c>
      <c r="K312" s="898" t="s">
        <v>146</v>
      </c>
      <c r="L312" s="898" t="s">
        <v>646</v>
      </c>
      <c r="M312" s="898" t="s">
        <v>653</v>
      </c>
      <c r="P312" s="892"/>
      <c r="R312" s="28" t="s">
        <v>633</v>
      </c>
      <c r="S312" s="491" t="s">
        <v>634</v>
      </c>
      <c r="T312" s="1"/>
      <c r="U312" s="1"/>
      <c r="V312" s="1"/>
    </row>
    <row r="313" spans="1:22" ht="15" customHeight="1" x14ac:dyDescent="0.2">
      <c r="A313" s="35"/>
      <c r="B313" s="1"/>
      <c r="C313" s="1"/>
      <c r="D313" s="891"/>
      <c r="E313" s="891"/>
      <c r="F313" s="891"/>
      <c r="G313" s="898" t="s">
        <v>672</v>
      </c>
      <c r="H313" s="899"/>
      <c r="I313" s="898" t="s">
        <v>640</v>
      </c>
      <c r="J313" s="898" t="s">
        <v>673</v>
      </c>
      <c r="K313" s="898" t="s">
        <v>674</v>
      </c>
      <c r="L313" s="898" t="s">
        <v>675</v>
      </c>
      <c r="M313" s="898" t="s">
        <v>676</v>
      </c>
      <c r="P313" s="892"/>
      <c r="R313" s="1"/>
      <c r="S313" s="491"/>
      <c r="T313" s="1"/>
      <c r="U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6" tint="0.39997558519241921"/>
  </sheetPr>
  <dimension ref="A1:W61"/>
  <sheetViews>
    <sheetView showGridLines="0" zoomScale="80" zoomScaleNormal="80" workbookViewId="0"/>
  </sheetViews>
  <sheetFormatPr defaultRowHeight="12.75" x14ac:dyDescent="0.2"/>
  <sheetData>
    <row r="1" spans="1:23" ht="15" x14ac:dyDescent="0.25">
      <c r="A1" s="606"/>
      <c r="B1" s="606"/>
      <c r="C1" s="606"/>
      <c r="D1" s="606"/>
      <c r="E1" s="606"/>
      <c r="F1" s="606"/>
      <c r="G1" s="606"/>
      <c r="H1" s="606"/>
      <c r="I1" s="606"/>
      <c r="J1" s="606"/>
      <c r="K1" s="606"/>
      <c r="L1" s="606"/>
      <c r="M1" s="606"/>
      <c r="N1" s="606"/>
      <c r="O1" s="606"/>
      <c r="P1" s="606"/>
      <c r="Q1" s="606"/>
      <c r="R1" s="606"/>
      <c r="S1" s="606"/>
      <c r="T1" s="606"/>
      <c r="U1" s="606"/>
    </row>
    <row r="2" spans="1:23" ht="15" x14ac:dyDescent="0.25">
      <c r="A2" s="606"/>
      <c r="B2" s="607" t="s">
        <v>430</v>
      </c>
      <c r="C2" s="606"/>
      <c r="D2" s="606"/>
      <c r="E2" s="606"/>
      <c r="F2" s="606"/>
      <c r="G2" s="606"/>
      <c r="H2" s="606"/>
      <c r="I2" s="606"/>
      <c r="J2" s="606"/>
      <c r="K2" s="606"/>
      <c r="L2" s="607" t="s">
        <v>431</v>
      </c>
      <c r="M2" s="606"/>
      <c r="N2" s="606"/>
      <c r="O2" s="606"/>
      <c r="P2" s="606"/>
      <c r="Q2" s="607" t="s">
        <v>432</v>
      </c>
      <c r="R2" s="606"/>
      <c r="S2" s="606"/>
      <c r="T2" s="606"/>
      <c r="U2" s="606"/>
    </row>
    <row r="3" spans="1:23" ht="15" x14ac:dyDescent="0.25">
      <c r="A3" s="606"/>
      <c r="B3" s="607" t="s">
        <v>433</v>
      </c>
      <c r="C3" s="606"/>
      <c r="D3" s="606"/>
      <c r="E3" s="606"/>
      <c r="F3" s="606"/>
      <c r="G3" s="606"/>
      <c r="H3" s="606"/>
      <c r="I3" s="606"/>
      <c r="J3" s="606"/>
      <c r="K3" s="606"/>
      <c r="L3" s="606"/>
      <c r="M3" s="606"/>
      <c r="N3" s="606"/>
      <c r="O3" s="606"/>
      <c r="P3" s="606"/>
      <c r="Q3" s="607"/>
      <c r="R3" s="606"/>
      <c r="S3" s="606"/>
      <c r="T3" s="606"/>
      <c r="U3" s="606"/>
    </row>
    <row r="4" spans="1:23" ht="15" x14ac:dyDescent="0.25">
      <c r="A4" s="606"/>
      <c r="B4" s="607" t="s">
        <v>434</v>
      </c>
      <c r="C4" s="606"/>
      <c r="D4" s="606"/>
      <c r="E4" s="606"/>
      <c r="F4" s="606"/>
      <c r="G4" s="606"/>
      <c r="H4" s="606"/>
      <c r="I4" s="606"/>
      <c r="J4" s="606"/>
      <c r="K4" s="606"/>
      <c r="L4" s="607"/>
      <c r="M4" s="606"/>
      <c r="N4" s="606"/>
      <c r="O4" s="606"/>
      <c r="P4" s="606"/>
      <c r="Q4" s="607"/>
      <c r="R4" s="606"/>
      <c r="S4" s="606"/>
      <c r="T4" s="606"/>
      <c r="U4" s="606"/>
    </row>
    <row r="5" spans="1:23" ht="15" x14ac:dyDescent="0.25">
      <c r="A5" s="606"/>
      <c r="B5" s="608" t="s">
        <v>435</v>
      </c>
      <c r="C5" s="606"/>
      <c r="D5" s="606"/>
      <c r="E5" s="606"/>
      <c r="F5" s="606"/>
      <c r="G5" s="606"/>
      <c r="H5" s="606"/>
      <c r="I5" s="606"/>
      <c r="J5" s="606"/>
      <c r="K5" s="606"/>
      <c r="L5" s="607"/>
      <c r="M5" s="606"/>
      <c r="N5" s="606"/>
      <c r="O5" s="606"/>
      <c r="P5" s="606"/>
      <c r="Q5" s="607"/>
      <c r="R5" s="606"/>
      <c r="S5" s="606"/>
      <c r="T5" s="606"/>
      <c r="U5" s="606"/>
    </row>
    <row r="6" spans="1:23" ht="15" x14ac:dyDescent="0.25">
      <c r="A6" s="606"/>
      <c r="B6" s="606"/>
      <c r="C6" s="606"/>
      <c r="D6" s="606"/>
      <c r="E6" s="606"/>
      <c r="F6" s="606"/>
      <c r="G6" s="606"/>
      <c r="H6" s="606"/>
      <c r="I6" s="606"/>
      <c r="J6" s="606"/>
      <c r="K6" s="606"/>
      <c r="L6" s="607"/>
      <c r="M6" s="606"/>
      <c r="N6" s="606"/>
      <c r="O6" s="606"/>
      <c r="P6" s="606"/>
      <c r="Q6" s="606"/>
      <c r="R6" s="606"/>
      <c r="S6" s="606"/>
      <c r="T6" s="606"/>
      <c r="U6" s="606"/>
    </row>
    <row r="7" spans="1:23" ht="15" x14ac:dyDescent="0.25">
      <c r="A7" s="606"/>
      <c r="B7" s="606"/>
      <c r="C7" s="606"/>
      <c r="D7" s="606"/>
      <c r="E7" s="606"/>
      <c r="F7" s="606"/>
      <c r="G7" s="606"/>
      <c r="H7" s="606"/>
      <c r="I7" s="606"/>
      <c r="J7" s="606"/>
      <c r="K7" s="606"/>
      <c r="L7" s="607"/>
      <c r="M7" s="606"/>
      <c r="N7" s="606"/>
      <c r="O7" s="606"/>
      <c r="P7" s="606"/>
      <c r="Q7" s="606"/>
      <c r="R7" s="606"/>
      <c r="S7" s="606"/>
      <c r="T7" s="606"/>
      <c r="U7" s="606"/>
    </row>
    <row r="8" spans="1:23" ht="15" x14ac:dyDescent="0.25">
      <c r="A8" s="606"/>
      <c r="B8" s="606"/>
      <c r="C8" s="606"/>
      <c r="D8" s="606"/>
      <c r="E8" s="606"/>
      <c r="F8" s="606"/>
      <c r="G8" s="606"/>
      <c r="H8" s="606"/>
      <c r="I8" s="606"/>
      <c r="J8" s="606"/>
      <c r="K8" s="606"/>
      <c r="L8" s="607"/>
      <c r="M8" s="606"/>
      <c r="N8" s="606"/>
      <c r="O8" s="606"/>
      <c r="P8" s="606"/>
      <c r="Q8" s="606"/>
      <c r="R8" s="606"/>
      <c r="S8" s="606"/>
      <c r="T8" s="606"/>
      <c r="U8" s="606"/>
    </row>
    <row r="9" spans="1:23" ht="15" x14ac:dyDescent="0.25">
      <c r="A9" s="606"/>
      <c r="B9" s="606"/>
      <c r="C9" s="606"/>
      <c r="D9" s="606"/>
      <c r="E9" s="606"/>
      <c r="F9" s="606"/>
      <c r="G9" s="606"/>
      <c r="H9" s="606"/>
      <c r="I9" s="606"/>
      <c r="J9" s="606"/>
      <c r="K9" s="606"/>
      <c r="L9" s="607"/>
      <c r="M9" s="606"/>
      <c r="N9" s="606"/>
      <c r="O9" s="606"/>
      <c r="P9" s="606"/>
      <c r="Q9" s="607"/>
      <c r="R9" s="606"/>
      <c r="S9" s="606"/>
      <c r="T9" s="606"/>
      <c r="U9" s="606"/>
    </row>
    <row r="10" spans="1:23" ht="15" x14ac:dyDescent="0.25">
      <c r="A10" s="606"/>
      <c r="B10" s="606"/>
      <c r="C10" s="606"/>
      <c r="D10" s="606"/>
      <c r="E10" s="606"/>
      <c r="F10" s="606"/>
      <c r="G10" s="606"/>
      <c r="H10" s="606"/>
      <c r="I10" s="606"/>
      <c r="J10" s="606"/>
      <c r="K10" s="606"/>
      <c r="L10" s="606"/>
      <c r="M10" s="606"/>
      <c r="N10" s="606"/>
      <c r="O10" s="606"/>
      <c r="P10" s="606"/>
      <c r="Q10" s="606"/>
      <c r="R10" s="606"/>
      <c r="S10" s="606"/>
      <c r="T10" s="606"/>
      <c r="U10" s="606"/>
    </row>
    <row r="11" spans="1:23" ht="15" x14ac:dyDescent="0.25">
      <c r="A11" s="606"/>
      <c r="B11" s="606"/>
      <c r="C11" s="610" t="s">
        <v>460</v>
      </c>
      <c r="D11" s="607" t="s">
        <v>461</v>
      </c>
      <c r="E11" s="607"/>
      <c r="F11" s="606"/>
      <c r="G11" s="609" t="s">
        <v>436</v>
      </c>
      <c r="H11" s="606"/>
      <c r="I11" s="606"/>
      <c r="J11" s="606"/>
      <c r="K11" s="606"/>
      <c r="L11" s="606"/>
      <c r="M11" s="606"/>
      <c r="N11" s="606"/>
      <c r="O11" s="606"/>
      <c r="P11" s="606"/>
      <c r="Q11" s="606"/>
      <c r="R11" s="606"/>
      <c r="S11" s="606"/>
      <c r="T11" s="606"/>
      <c r="U11" s="606"/>
    </row>
    <row r="12" spans="1:23" ht="15" x14ac:dyDescent="0.25">
      <c r="A12" s="606"/>
      <c r="C12" s="668" t="s">
        <v>453</v>
      </c>
      <c r="D12" s="668" t="s">
        <v>454</v>
      </c>
      <c r="G12" s="609" t="s">
        <v>437</v>
      </c>
      <c r="H12" s="606"/>
      <c r="I12" s="606"/>
      <c r="J12" s="606"/>
      <c r="K12" s="606"/>
      <c r="L12" s="606"/>
      <c r="M12" s="610"/>
      <c r="N12" s="607" t="s">
        <v>464</v>
      </c>
      <c r="O12" s="606"/>
      <c r="P12" s="606"/>
      <c r="Q12" s="606"/>
      <c r="R12" s="610"/>
      <c r="S12" s="607" t="s">
        <v>461</v>
      </c>
      <c r="T12" s="606"/>
      <c r="U12" s="606"/>
    </row>
    <row r="13" spans="1:23" ht="15" x14ac:dyDescent="0.25">
      <c r="A13" s="606"/>
      <c r="B13" s="606"/>
      <c r="C13" s="611" t="s">
        <v>438</v>
      </c>
      <c r="D13" s="611" t="s">
        <v>439</v>
      </c>
      <c r="E13" s="611"/>
      <c r="F13" s="606"/>
      <c r="G13" s="609" t="s">
        <v>440</v>
      </c>
      <c r="H13" s="606"/>
      <c r="I13" s="606"/>
      <c r="J13" s="606"/>
      <c r="K13" s="606"/>
      <c r="L13" s="606"/>
      <c r="M13" s="611"/>
      <c r="N13" s="611" t="s">
        <v>438</v>
      </c>
      <c r="O13" s="606"/>
      <c r="P13" s="606"/>
      <c r="Q13" s="606"/>
      <c r="R13" s="611"/>
      <c r="S13" s="611" t="s">
        <v>439</v>
      </c>
      <c r="T13" s="606"/>
      <c r="U13" s="606"/>
    </row>
    <row r="14" spans="1:23" ht="15" x14ac:dyDescent="0.25">
      <c r="A14" s="606"/>
      <c r="B14" s="606" t="s">
        <v>462</v>
      </c>
      <c r="C14" s="611" t="s">
        <v>441</v>
      </c>
      <c r="D14" s="611" t="s">
        <v>441</v>
      </c>
      <c r="E14" s="611" t="s">
        <v>463</v>
      </c>
      <c r="F14" s="606"/>
      <c r="G14" s="608" t="s">
        <v>442</v>
      </c>
      <c r="H14" s="606"/>
      <c r="I14" s="606"/>
      <c r="J14" s="606"/>
      <c r="K14" s="606"/>
      <c r="L14" s="606"/>
      <c r="M14" s="668" t="s">
        <v>453</v>
      </c>
      <c r="N14" s="611" t="s">
        <v>441</v>
      </c>
      <c r="O14" s="606"/>
      <c r="P14" s="606"/>
      <c r="Q14" s="606"/>
      <c r="R14" s="668" t="s">
        <v>454</v>
      </c>
      <c r="S14" s="611" t="s">
        <v>441</v>
      </c>
      <c r="T14" s="606"/>
      <c r="U14" s="606"/>
    </row>
    <row r="15" spans="1:23" ht="15" x14ac:dyDescent="0.25">
      <c r="A15" s="606"/>
      <c r="B15" s="613"/>
      <c r="C15" s="686">
        <v>1</v>
      </c>
      <c r="D15" s="686">
        <v>1</v>
      </c>
      <c r="E15" s="684"/>
      <c r="F15" s="613"/>
      <c r="G15" s="666">
        <v>1</v>
      </c>
      <c r="H15" s="667">
        <v>1</v>
      </c>
      <c r="I15" s="614"/>
      <c r="J15" s="615"/>
      <c r="K15" s="606"/>
      <c r="L15" s="612"/>
      <c r="M15" s="612"/>
      <c r="N15" s="612"/>
      <c r="O15" s="612"/>
      <c r="P15" s="606"/>
      <c r="Q15" s="612"/>
      <c r="R15" s="612"/>
      <c r="S15" s="612"/>
      <c r="T15" s="612"/>
      <c r="U15" s="606"/>
    </row>
    <row r="16" spans="1:23" ht="15" x14ac:dyDescent="0.25">
      <c r="A16" s="606"/>
      <c r="B16" s="612"/>
      <c r="C16" s="685" t="s">
        <v>441</v>
      </c>
      <c r="D16" s="685" t="s">
        <v>441</v>
      </c>
      <c r="E16" s="616" t="s">
        <v>443</v>
      </c>
      <c r="F16" s="616" t="s">
        <v>444</v>
      </c>
      <c r="G16" s="617" t="s">
        <v>441</v>
      </c>
      <c r="H16" s="612" t="s">
        <v>441</v>
      </c>
      <c r="I16" s="616" t="s">
        <v>443</v>
      </c>
      <c r="J16" s="618" t="s">
        <v>445</v>
      </c>
      <c r="K16" s="606"/>
      <c r="L16" s="612"/>
      <c r="M16" s="612" t="s">
        <v>441</v>
      </c>
      <c r="N16" s="612" t="s">
        <v>441</v>
      </c>
      <c r="O16" s="619" t="s">
        <v>444</v>
      </c>
      <c r="P16" s="606"/>
      <c r="Q16" s="612"/>
      <c r="R16" s="612" t="s">
        <v>441</v>
      </c>
      <c r="S16" s="612" t="s">
        <v>441</v>
      </c>
      <c r="T16" s="619" t="s">
        <v>444</v>
      </c>
      <c r="U16" s="606"/>
      <c r="V16" s="685">
        <v>3171</v>
      </c>
      <c r="W16" s="685">
        <v>3304</v>
      </c>
    </row>
    <row r="17" spans="1:23" ht="31.5" customHeight="1" x14ac:dyDescent="0.25">
      <c r="A17" s="606"/>
      <c r="B17" s="612"/>
      <c r="C17" s="612" t="s">
        <v>33</v>
      </c>
      <c r="D17" s="612" t="s">
        <v>33</v>
      </c>
      <c r="E17" s="616" t="s">
        <v>40</v>
      </c>
      <c r="F17" s="616" t="s">
        <v>40</v>
      </c>
      <c r="G17" s="617" t="s">
        <v>33</v>
      </c>
      <c r="H17" s="612" t="s">
        <v>33</v>
      </c>
      <c r="I17" s="616" t="s">
        <v>40</v>
      </c>
      <c r="J17" s="618" t="s">
        <v>40</v>
      </c>
      <c r="K17" s="606"/>
      <c r="L17" s="612"/>
      <c r="M17" s="612" t="s">
        <v>33</v>
      </c>
      <c r="N17" s="612" t="s">
        <v>33</v>
      </c>
      <c r="O17" s="619" t="s">
        <v>40</v>
      </c>
      <c r="P17" s="606"/>
      <c r="Q17" s="612"/>
      <c r="R17" s="612" t="s">
        <v>33</v>
      </c>
      <c r="S17" s="612" t="s">
        <v>33</v>
      </c>
      <c r="T17" s="619" t="s">
        <v>40</v>
      </c>
      <c r="U17" s="606"/>
      <c r="V17" s="612" t="s">
        <v>33</v>
      </c>
      <c r="W17" s="612" t="s">
        <v>33</v>
      </c>
    </row>
    <row r="18" spans="1:23" ht="15" x14ac:dyDescent="0.25">
      <c r="A18" s="606"/>
      <c r="B18" s="612" t="s">
        <v>21</v>
      </c>
      <c r="C18" s="620" t="s">
        <v>446</v>
      </c>
      <c r="D18" s="620" t="s">
        <v>446</v>
      </c>
      <c r="E18" s="621" t="s">
        <v>447</v>
      </c>
      <c r="F18" s="621" t="s">
        <v>448</v>
      </c>
      <c r="G18" s="664" t="s">
        <v>449</v>
      </c>
      <c r="H18" s="665" t="s">
        <v>450</v>
      </c>
      <c r="I18" s="621" t="s">
        <v>447</v>
      </c>
      <c r="J18" s="622" t="s">
        <v>451</v>
      </c>
      <c r="K18" s="606"/>
      <c r="L18" s="612" t="s">
        <v>21</v>
      </c>
      <c r="M18" s="620" t="s">
        <v>446</v>
      </c>
      <c r="N18" s="620" t="s">
        <v>446</v>
      </c>
      <c r="O18" s="623" t="s">
        <v>448</v>
      </c>
      <c r="P18" s="606"/>
      <c r="Q18" s="612" t="s">
        <v>21</v>
      </c>
      <c r="R18" s="620" t="s">
        <v>446</v>
      </c>
      <c r="S18" s="620" t="s">
        <v>446</v>
      </c>
      <c r="T18" s="623" t="s">
        <v>448</v>
      </c>
      <c r="U18" s="606"/>
      <c r="V18" s="620" t="s">
        <v>446</v>
      </c>
      <c r="W18" s="620" t="s">
        <v>446</v>
      </c>
    </row>
    <row r="19" spans="1:23" ht="15" x14ac:dyDescent="0.25">
      <c r="A19" s="606"/>
      <c r="B19" s="612">
        <v>1</v>
      </c>
      <c r="C19" s="714">
        <f t="shared" ref="C19:C28" si="0">C31*$C$15</f>
        <v>27.5</v>
      </c>
      <c r="D19" s="681">
        <f t="shared" ref="D19:D28" si="1">D31*$D$15</f>
        <v>29.9</v>
      </c>
      <c r="E19" s="625">
        <f>D19-C19</f>
        <v>2.3999999999999986</v>
      </c>
      <c r="F19" s="626">
        <f>C19/D19</f>
        <v>0.91973244147157196</v>
      </c>
      <c r="G19" s="627">
        <f>C19/$G$15</f>
        <v>27.5</v>
      </c>
      <c r="H19" s="628">
        <f>D19/$H$15</f>
        <v>29.9</v>
      </c>
      <c r="I19" s="625">
        <f>H19-G19</f>
        <v>2.3999999999999986</v>
      </c>
      <c r="J19" s="629">
        <f t="shared" ref="J19:J28" si="2">H19/G19</f>
        <v>1.0872727272727272</v>
      </c>
      <c r="K19" s="606"/>
      <c r="L19" s="612">
        <v>1</v>
      </c>
      <c r="M19" s="624">
        <v>27.5</v>
      </c>
      <c r="N19" s="681">
        <f>C19</f>
        <v>27.5</v>
      </c>
      <c r="O19" s="626">
        <f>M19/N19</f>
        <v>1</v>
      </c>
      <c r="P19" s="630">
        <f>O19/O20</f>
        <v>0.99651978669660346</v>
      </c>
      <c r="Q19" s="612">
        <v>1</v>
      </c>
      <c r="R19" s="624">
        <v>29.7</v>
      </c>
      <c r="S19" s="681">
        <f>D19</f>
        <v>29.9</v>
      </c>
      <c r="T19" s="626">
        <f>R19/S19</f>
        <v>0.99331103678929766</v>
      </c>
      <c r="U19" s="630">
        <f>T19/T20</f>
        <v>0.99340975092959971</v>
      </c>
      <c r="V19" s="655">
        <v>27.2</v>
      </c>
      <c r="W19" s="656">
        <v>30</v>
      </c>
    </row>
    <row r="20" spans="1:23" ht="15" x14ac:dyDescent="0.25">
      <c r="A20" s="606"/>
      <c r="B20" s="612">
        <v>2</v>
      </c>
      <c r="C20" s="682">
        <f t="shared" si="0"/>
        <v>50.722857142857116</v>
      </c>
      <c r="D20" s="682">
        <f t="shared" si="1"/>
        <v>57.505714285714284</v>
      </c>
      <c r="E20" s="632">
        <f t="shared" ref="E20:E28" si="3">D20-C20</f>
        <v>6.7828571428571678</v>
      </c>
      <c r="F20" s="633">
        <f t="shared" ref="F20:F28" si="4">C20/D20</f>
        <v>0.88204898892035533</v>
      </c>
      <c r="G20" s="634">
        <f t="shared" ref="G20:G28" si="5">C20/$G$15</f>
        <v>50.722857142857116</v>
      </c>
      <c r="H20" s="635">
        <f t="shared" ref="H20:H28" si="6">D20/$H$15</f>
        <v>57.505714285714284</v>
      </c>
      <c r="I20" s="632">
        <f>H20-G20</f>
        <v>6.7828571428571678</v>
      </c>
      <c r="J20" s="636">
        <f t="shared" si="2"/>
        <v>1.1337238776544816</v>
      </c>
      <c r="K20" s="606"/>
      <c r="L20" s="612">
        <v>2</v>
      </c>
      <c r="M20" s="631">
        <v>50.9</v>
      </c>
      <c r="N20" s="682">
        <f t="shared" ref="N20:N28" si="7">C20</f>
        <v>50.722857142857116</v>
      </c>
      <c r="O20" s="633">
        <f>M20/N20</f>
        <v>1.0034923674871858</v>
      </c>
      <c r="P20" s="637" t="s">
        <v>452</v>
      </c>
      <c r="Q20" s="612">
        <v>2</v>
      </c>
      <c r="R20" s="631">
        <v>57.5</v>
      </c>
      <c r="S20" s="682">
        <f t="shared" ref="S20:S28" si="8">D20</f>
        <v>57.505714285714284</v>
      </c>
      <c r="T20" s="633">
        <f t="shared" ref="T20:T28" si="9">R20/S20</f>
        <v>0.99990063099319326</v>
      </c>
      <c r="U20" s="637" t="s">
        <v>452</v>
      </c>
      <c r="V20" s="657">
        <f t="shared" ref="V20:V28" si="10">V32*$C$15</f>
        <v>0</v>
      </c>
      <c r="W20" s="657">
        <f t="shared" ref="W20:W28" si="11">W32*$D$15</f>
        <v>0</v>
      </c>
    </row>
    <row r="21" spans="1:23" ht="15" x14ac:dyDescent="0.25">
      <c r="A21" s="606"/>
      <c r="B21" s="612">
        <v>3</v>
      </c>
      <c r="C21" s="683">
        <f t="shared" si="0"/>
        <v>70.465714285714284</v>
      </c>
      <c r="D21" s="683">
        <f t="shared" si="1"/>
        <v>79.491428571428571</v>
      </c>
      <c r="E21" s="640">
        <f t="shared" si="3"/>
        <v>9.0257142857142867</v>
      </c>
      <c r="F21" s="641">
        <f t="shared" si="4"/>
        <v>0.88645676083674785</v>
      </c>
      <c r="G21" s="642">
        <f t="shared" si="5"/>
        <v>70.465714285714284</v>
      </c>
      <c r="H21" s="643">
        <f t="shared" si="6"/>
        <v>79.491428571428571</v>
      </c>
      <c r="I21" s="640">
        <f t="shared" ref="I21:I28" si="12">H21-G21</f>
        <v>9.0257142857142867</v>
      </c>
      <c r="J21" s="644">
        <f t="shared" si="2"/>
        <v>1.1280866074686777</v>
      </c>
      <c r="K21" s="606"/>
      <c r="L21" s="612">
        <v>3</v>
      </c>
      <c r="M21" s="638">
        <v>70.2</v>
      </c>
      <c r="N21" s="683">
        <f t="shared" si="7"/>
        <v>70.465714285714284</v>
      </c>
      <c r="O21" s="641">
        <f t="shared" ref="O21:O28" si="13">M21/N21</f>
        <v>0.99622916920082716</v>
      </c>
      <c r="P21" s="606"/>
      <c r="Q21" s="612">
        <v>3</v>
      </c>
      <c r="R21" s="638">
        <v>79.5</v>
      </c>
      <c r="S21" s="683">
        <f t="shared" si="8"/>
        <v>79.491428571428571</v>
      </c>
      <c r="T21" s="641">
        <f t="shared" si="9"/>
        <v>1.0001078283372871</v>
      </c>
      <c r="U21" s="645"/>
      <c r="V21" s="659">
        <f t="shared" si="10"/>
        <v>0</v>
      </c>
      <c r="W21" s="659">
        <f t="shared" si="11"/>
        <v>0</v>
      </c>
    </row>
    <row r="22" spans="1:23" ht="15" x14ac:dyDescent="0.25">
      <c r="A22" s="606"/>
      <c r="B22" s="612">
        <v>4</v>
      </c>
      <c r="C22" s="683">
        <f t="shared" si="0"/>
        <v>88.022857142857163</v>
      </c>
      <c r="D22" s="683">
        <f t="shared" si="1"/>
        <v>97.505714285714305</v>
      </c>
      <c r="E22" s="640">
        <f t="shared" si="3"/>
        <v>9.4828571428571422</v>
      </c>
      <c r="F22" s="641">
        <f t="shared" si="4"/>
        <v>0.90274562662994118</v>
      </c>
      <c r="G22" s="642">
        <f t="shared" si="5"/>
        <v>88.022857142857163</v>
      </c>
      <c r="H22" s="643">
        <f t="shared" si="6"/>
        <v>97.505714285714305</v>
      </c>
      <c r="I22" s="640">
        <f t="shared" si="12"/>
        <v>9.4828571428571422</v>
      </c>
      <c r="J22" s="644">
        <f t="shared" si="2"/>
        <v>1.1077317579849388</v>
      </c>
      <c r="K22" s="606"/>
      <c r="L22" s="612">
        <v>4</v>
      </c>
      <c r="M22" s="639">
        <v>88.2</v>
      </c>
      <c r="N22" s="683">
        <f t="shared" si="7"/>
        <v>88.022857142857163</v>
      </c>
      <c r="O22" s="641">
        <f t="shared" si="13"/>
        <v>1.0020124642949881</v>
      </c>
      <c r="P22" s="606"/>
      <c r="Q22" s="612">
        <v>4</v>
      </c>
      <c r="R22" s="639">
        <v>96.4</v>
      </c>
      <c r="S22" s="683">
        <f t="shared" si="8"/>
        <v>97.505714285714305</v>
      </c>
      <c r="T22" s="641">
        <f t="shared" si="9"/>
        <v>0.988660005274416</v>
      </c>
      <c r="U22" s="606"/>
      <c r="V22" s="659">
        <f t="shared" si="10"/>
        <v>0</v>
      </c>
      <c r="W22" s="659">
        <f t="shared" si="11"/>
        <v>0</v>
      </c>
    </row>
    <row r="23" spans="1:23" ht="15" x14ac:dyDescent="0.25">
      <c r="A23" s="606"/>
      <c r="B23" s="613">
        <v>5</v>
      </c>
      <c r="C23" s="711">
        <f t="shared" si="0"/>
        <v>104.64428571428573</v>
      </c>
      <c r="D23" s="711">
        <f t="shared" si="1"/>
        <v>113.39857142857147</v>
      </c>
      <c r="E23" s="632">
        <f t="shared" si="3"/>
        <v>8.7542857142857429</v>
      </c>
      <c r="F23" s="633">
        <f t="shared" si="4"/>
        <v>0.92280074075007223</v>
      </c>
      <c r="G23" s="634">
        <f t="shared" si="5"/>
        <v>104.64428571428573</v>
      </c>
      <c r="H23" s="635">
        <f t="shared" si="6"/>
        <v>113.39857142857147</v>
      </c>
      <c r="I23" s="632">
        <f t="shared" si="12"/>
        <v>8.7542857142857429</v>
      </c>
      <c r="J23" s="636">
        <f t="shared" si="2"/>
        <v>1.0836575609889287</v>
      </c>
      <c r="K23" s="646">
        <f>104.6/105.1</f>
        <v>0.99524262607040914</v>
      </c>
      <c r="L23" s="612">
        <v>5</v>
      </c>
      <c r="M23" s="631">
        <v>104.6</v>
      </c>
      <c r="N23" s="682">
        <f t="shared" si="7"/>
        <v>104.64428571428573</v>
      </c>
      <c r="O23" s="633">
        <f t="shared" si="13"/>
        <v>0.99957679758638085</v>
      </c>
      <c r="P23" s="606"/>
      <c r="Q23" s="612">
        <v>5</v>
      </c>
      <c r="R23" s="631">
        <v>113.4</v>
      </c>
      <c r="S23" s="682">
        <f t="shared" si="8"/>
        <v>113.39857142857147</v>
      </c>
      <c r="T23" s="633">
        <f t="shared" si="9"/>
        <v>1.0000125977903473</v>
      </c>
      <c r="U23" s="606"/>
      <c r="V23" s="661">
        <f t="shared" si="10"/>
        <v>0</v>
      </c>
      <c r="W23" s="661">
        <f t="shared" si="11"/>
        <v>0</v>
      </c>
    </row>
    <row r="24" spans="1:23" ht="15" x14ac:dyDescent="0.25">
      <c r="A24" s="606"/>
      <c r="B24" s="613">
        <v>10</v>
      </c>
      <c r="C24" s="712">
        <f t="shared" si="0"/>
        <v>169.99857142857147</v>
      </c>
      <c r="D24" s="712">
        <f t="shared" si="1"/>
        <v>181.91714285714289</v>
      </c>
      <c r="E24" s="640">
        <f t="shared" si="3"/>
        <v>11.918571428571425</v>
      </c>
      <c r="F24" s="641">
        <f t="shared" si="4"/>
        <v>0.93448351682869757</v>
      </c>
      <c r="G24" s="642">
        <f t="shared" si="5"/>
        <v>169.99857142857147</v>
      </c>
      <c r="H24" s="643">
        <f t="shared" si="6"/>
        <v>181.91714285714289</v>
      </c>
      <c r="I24" s="640">
        <f t="shared" si="12"/>
        <v>11.918571428571425</v>
      </c>
      <c r="J24" s="644">
        <f t="shared" si="2"/>
        <v>1.0701098328557384</v>
      </c>
      <c r="K24" s="646">
        <f>169.8/171.3</f>
        <v>0.99124343257443082</v>
      </c>
      <c r="L24" s="612">
        <v>10</v>
      </c>
      <c r="M24" s="639">
        <v>169.8</v>
      </c>
      <c r="N24" s="683">
        <f t="shared" si="7"/>
        <v>169.99857142857147</v>
      </c>
      <c r="O24" s="641">
        <f t="shared" si="13"/>
        <v>0.99883192295733558</v>
      </c>
      <c r="P24" s="606"/>
      <c r="Q24" s="612">
        <v>10</v>
      </c>
      <c r="R24" s="639">
        <v>182</v>
      </c>
      <c r="S24" s="683">
        <f t="shared" si="8"/>
        <v>181.91714285714289</v>
      </c>
      <c r="T24" s="641">
        <f t="shared" si="9"/>
        <v>1.000455466381869</v>
      </c>
      <c r="U24" s="606"/>
      <c r="V24" s="662">
        <f t="shared" si="10"/>
        <v>0</v>
      </c>
      <c r="W24" s="662">
        <f t="shared" si="11"/>
        <v>0</v>
      </c>
    </row>
    <row r="25" spans="1:23" ht="15" x14ac:dyDescent="0.25">
      <c r="A25" s="606"/>
      <c r="B25" s="612">
        <v>20</v>
      </c>
      <c r="C25" s="683">
        <f t="shared" si="0"/>
        <v>276.0057142857143</v>
      </c>
      <c r="D25" s="683">
        <f t="shared" si="1"/>
        <v>301.8314285714286</v>
      </c>
      <c r="E25" s="640">
        <f t="shared" si="3"/>
        <v>25.825714285714298</v>
      </c>
      <c r="F25" s="641">
        <f t="shared" si="4"/>
        <v>0.91443662971762851</v>
      </c>
      <c r="G25" s="642">
        <f t="shared" si="5"/>
        <v>276.0057142857143</v>
      </c>
      <c r="H25" s="643">
        <f t="shared" si="6"/>
        <v>301.8314285714286</v>
      </c>
      <c r="I25" s="640">
        <f t="shared" si="12"/>
        <v>25.825714285714298</v>
      </c>
      <c r="J25" s="644">
        <f t="shared" si="2"/>
        <v>1.0935694913148797</v>
      </c>
      <c r="K25" s="606"/>
      <c r="L25" s="612">
        <v>20</v>
      </c>
      <c r="M25" s="639">
        <v>276.8</v>
      </c>
      <c r="N25" s="683">
        <f t="shared" si="7"/>
        <v>276.0057142857143</v>
      </c>
      <c r="O25" s="641">
        <f t="shared" si="13"/>
        <v>1.0028777872093746</v>
      </c>
      <c r="P25" s="606"/>
      <c r="Q25" s="612">
        <v>20</v>
      </c>
      <c r="R25" s="639">
        <v>301.5</v>
      </c>
      <c r="S25" s="683">
        <f t="shared" si="8"/>
        <v>301.8314285714286</v>
      </c>
      <c r="T25" s="641">
        <f t="shared" si="9"/>
        <v>0.9989019414810536</v>
      </c>
      <c r="U25" s="606"/>
      <c r="V25" s="659">
        <f t="shared" si="10"/>
        <v>0</v>
      </c>
      <c r="W25" s="659">
        <f t="shared" si="11"/>
        <v>0</v>
      </c>
    </row>
    <row r="26" spans="1:23" ht="15" x14ac:dyDescent="0.25">
      <c r="A26" s="606"/>
      <c r="B26" s="612">
        <v>30</v>
      </c>
      <c r="C26" s="683">
        <f t="shared" si="0"/>
        <v>373.39142857142855</v>
      </c>
      <c r="D26" s="683">
        <f t="shared" si="1"/>
        <v>415.40285714285716</v>
      </c>
      <c r="E26" s="640">
        <f t="shared" si="3"/>
        <v>42.01142857142861</v>
      </c>
      <c r="F26" s="641">
        <f t="shared" si="4"/>
        <v>0.89886581700380341</v>
      </c>
      <c r="G26" s="642">
        <f t="shared" si="5"/>
        <v>373.39142857142855</v>
      </c>
      <c r="H26" s="643">
        <f t="shared" si="6"/>
        <v>415.40285714285716</v>
      </c>
      <c r="I26" s="640">
        <f t="shared" si="12"/>
        <v>42.01142857142861</v>
      </c>
      <c r="J26" s="644">
        <f t="shared" si="2"/>
        <v>1.112513103828231</v>
      </c>
      <c r="K26" s="606"/>
      <c r="L26" s="612">
        <v>30</v>
      </c>
      <c r="M26" s="639">
        <v>372.2</v>
      </c>
      <c r="N26" s="683">
        <f t="shared" si="7"/>
        <v>373.39142857142855</v>
      </c>
      <c r="O26" s="641">
        <f t="shared" si="13"/>
        <v>0.99680917000160696</v>
      </c>
      <c r="P26" s="606"/>
      <c r="Q26" s="612">
        <v>30</v>
      </c>
      <c r="R26" s="639">
        <v>415.9</v>
      </c>
      <c r="S26" s="683">
        <f t="shared" si="8"/>
        <v>415.40285714285716</v>
      </c>
      <c r="T26" s="641">
        <f t="shared" si="9"/>
        <v>1.0011967728401345</v>
      </c>
      <c r="U26" s="606"/>
      <c r="V26" s="659">
        <f t="shared" si="10"/>
        <v>0</v>
      </c>
      <c r="W26" s="659">
        <f t="shared" si="11"/>
        <v>0</v>
      </c>
    </row>
    <row r="27" spans="1:23" ht="15" x14ac:dyDescent="0.25">
      <c r="A27" s="606"/>
      <c r="B27" s="612">
        <v>40</v>
      </c>
      <c r="C27" s="683">
        <f t="shared" si="0"/>
        <v>461.20571428571418</v>
      </c>
      <c r="D27" s="683">
        <f t="shared" si="1"/>
        <v>521.43142857142857</v>
      </c>
      <c r="E27" s="640">
        <f t="shared" si="3"/>
        <v>60.225714285714389</v>
      </c>
      <c r="F27" s="641">
        <f t="shared" si="4"/>
        <v>0.88449926301773674</v>
      </c>
      <c r="G27" s="642">
        <f t="shared" si="5"/>
        <v>461.20571428571418</v>
      </c>
      <c r="H27" s="643">
        <f t="shared" si="6"/>
        <v>521.43142857142857</v>
      </c>
      <c r="I27" s="640">
        <f t="shared" si="12"/>
        <v>60.225714285714389</v>
      </c>
      <c r="J27" s="644">
        <f t="shared" si="2"/>
        <v>1.1305831918821476</v>
      </c>
      <c r="K27" s="606"/>
      <c r="L27" s="612">
        <v>40</v>
      </c>
      <c r="M27" s="639">
        <v>462</v>
      </c>
      <c r="N27" s="683">
        <f t="shared" si="7"/>
        <v>461.20571428571418</v>
      </c>
      <c r="O27" s="641">
        <f t="shared" si="13"/>
        <v>1.0017221940008179</v>
      </c>
      <c r="P27" s="606"/>
      <c r="Q27" s="612">
        <v>40</v>
      </c>
      <c r="R27" s="639">
        <v>521.1</v>
      </c>
      <c r="S27" s="683">
        <f t="shared" si="8"/>
        <v>521.43142857142857</v>
      </c>
      <c r="T27" s="641">
        <f t="shared" si="9"/>
        <v>0.99936438704445463</v>
      </c>
      <c r="U27" s="606"/>
      <c r="V27" s="659">
        <f t="shared" si="10"/>
        <v>0</v>
      </c>
      <c r="W27" s="659">
        <f t="shared" si="11"/>
        <v>0</v>
      </c>
    </row>
    <row r="28" spans="1:23" ht="15" x14ac:dyDescent="0.25">
      <c r="A28" s="606"/>
      <c r="B28" s="612">
        <v>50</v>
      </c>
      <c r="C28" s="713">
        <f t="shared" si="0"/>
        <v>538.49857142857138</v>
      </c>
      <c r="D28" s="713">
        <f t="shared" si="1"/>
        <v>618.71714285714279</v>
      </c>
      <c r="E28" s="632">
        <f t="shared" si="3"/>
        <v>80.218571428571408</v>
      </c>
      <c r="F28" s="647">
        <f t="shared" si="4"/>
        <v>0.87034693905823568</v>
      </c>
      <c r="G28" s="648">
        <f t="shared" si="5"/>
        <v>538.49857142857138</v>
      </c>
      <c r="H28" s="649">
        <f t="shared" si="6"/>
        <v>618.71714285714279</v>
      </c>
      <c r="I28" s="650">
        <f t="shared" si="12"/>
        <v>80.218571428571408</v>
      </c>
      <c r="J28" s="651">
        <f t="shared" si="2"/>
        <v>1.1489671016503558</v>
      </c>
      <c r="K28" s="606"/>
      <c r="L28" s="612">
        <v>50</v>
      </c>
      <c r="M28" s="631">
        <v>538.29999999999995</v>
      </c>
      <c r="N28" s="682">
        <f t="shared" si="7"/>
        <v>538.49857142857138</v>
      </c>
      <c r="O28" s="647">
        <f t="shared" si="13"/>
        <v>0.99963124985077556</v>
      </c>
      <c r="P28" s="606"/>
      <c r="Q28" s="612">
        <v>50</v>
      </c>
      <c r="R28" s="631">
        <v>618.79999999999995</v>
      </c>
      <c r="S28" s="682">
        <f t="shared" si="8"/>
        <v>618.71714285714279</v>
      </c>
      <c r="T28" s="647">
        <f t="shared" si="9"/>
        <v>1.0001339176452662</v>
      </c>
      <c r="U28" s="606"/>
      <c r="V28" s="663">
        <f t="shared" si="10"/>
        <v>0</v>
      </c>
      <c r="W28" s="663">
        <f t="shared" si="11"/>
        <v>0</v>
      </c>
    </row>
    <row r="29" spans="1:23" ht="15" x14ac:dyDescent="0.25">
      <c r="A29" s="606"/>
      <c r="B29" s="606"/>
      <c r="C29" s="606"/>
      <c r="D29" s="606"/>
      <c r="E29" s="606"/>
      <c r="F29" s="606"/>
      <c r="G29" s="606"/>
      <c r="H29" s="606"/>
      <c r="I29" s="606"/>
      <c r="J29" s="606"/>
      <c r="K29" s="606"/>
      <c r="L29" s="606"/>
      <c r="M29" s="606"/>
      <c r="N29" s="606"/>
      <c r="O29" s="606"/>
      <c r="P29" s="606"/>
      <c r="Q29" s="606"/>
      <c r="R29" s="606"/>
      <c r="S29" s="606"/>
      <c r="T29" s="606"/>
      <c r="U29" s="606"/>
    </row>
    <row r="30" spans="1:23" ht="15" x14ac:dyDescent="0.25">
      <c r="B30" t="s">
        <v>398</v>
      </c>
      <c r="C30" s="606"/>
      <c r="D30" s="606"/>
      <c r="E30" s="606"/>
      <c r="F30" s="606"/>
      <c r="G30" s="606"/>
      <c r="H30" s="606"/>
      <c r="I30" s="606"/>
      <c r="J30" s="606"/>
      <c r="K30" s="606"/>
      <c r="L30" t="s">
        <v>398</v>
      </c>
      <c r="M30" s="606"/>
      <c r="N30" s="606"/>
      <c r="O30" s="606"/>
      <c r="Q30" t="s">
        <v>398</v>
      </c>
    </row>
    <row r="31" spans="1:23" ht="15" x14ac:dyDescent="0.25">
      <c r="A31" s="606"/>
      <c r="B31" s="612">
        <v>1</v>
      </c>
      <c r="C31" s="655">
        <v>27.5</v>
      </c>
      <c r="D31" s="656">
        <v>29.9</v>
      </c>
      <c r="E31" s="625">
        <f>D31-C31</f>
        <v>2.3999999999999986</v>
      </c>
      <c r="F31" s="626">
        <f>C31/D31</f>
        <v>0.91973244147157196</v>
      </c>
      <c r="G31" s="652"/>
      <c r="H31" s="652"/>
      <c r="I31" s="652"/>
      <c r="J31" s="652"/>
      <c r="K31" s="606"/>
      <c r="L31" s="612">
        <v>1</v>
      </c>
      <c r="M31" s="624">
        <v>27.5</v>
      </c>
      <c r="N31" s="681">
        <f>C31</f>
        <v>27.5</v>
      </c>
      <c r="O31" s="626">
        <f>M31/N31</f>
        <v>1</v>
      </c>
      <c r="P31" s="606"/>
      <c r="Q31" s="612">
        <v>1</v>
      </c>
      <c r="R31" s="624">
        <v>29.7</v>
      </c>
      <c r="S31" s="681">
        <f>D31</f>
        <v>29.9</v>
      </c>
      <c r="T31" s="626">
        <f>R31/S31</f>
        <v>0.99331103678929766</v>
      </c>
      <c r="U31" s="606"/>
    </row>
    <row r="32" spans="1:23" ht="15" x14ac:dyDescent="0.25">
      <c r="A32" s="606"/>
      <c r="B32" s="612">
        <v>2</v>
      </c>
      <c r="C32" s="657">
        <v>50.722857142857116</v>
      </c>
      <c r="D32" s="657">
        <v>57.505714285714284</v>
      </c>
      <c r="E32" s="632">
        <f t="shared" ref="E32:E40" si="14">D32-C32</f>
        <v>6.7828571428571678</v>
      </c>
      <c r="F32" s="633">
        <f t="shared" ref="F32:F40" si="15">C32/D32</f>
        <v>0.88204898892035533</v>
      </c>
      <c r="G32" s="653"/>
      <c r="H32" s="653"/>
      <c r="I32" s="653"/>
      <c r="J32" s="653"/>
      <c r="K32" s="606"/>
      <c r="L32" s="612">
        <v>2</v>
      </c>
      <c r="M32" s="631">
        <v>50.9</v>
      </c>
      <c r="N32" s="682">
        <f t="shared" ref="N32:N40" si="16">C32</f>
        <v>50.722857142857116</v>
      </c>
      <c r="O32" s="633">
        <f>M32/N32</f>
        <v>1.0034923674871858</v>
      </c>
      <c r="P32" s="606"/>
      <c r="Q32" s="612">
        <v>2</v>
      </c>
      <c r="R32" s="631">
        <v>57.5</v>
      </c>
      <c r="S32" s="682">
        <f t="shared" ref="S32:S40" si="17">D32</f>
        <v>57.505714285714284</v>
      </c>
      <c r="T32" s="633">
        <f t="shared" ref="T32:T40" si="18">R32/S32</f>
        <v>0.99990063099319326</v>
      </c>
      <c r="U32" s="606"/>
    </row>
    <row r="33" spans="1:21" ht="15" x14ac:dyDescent="0.25">
      <c r="A33" s="606"/>
      <c r="B33" s="612">
        <v>3</v>
      </c>
      <c r="C33" s="658">
        <v>70.465714285714284</v>
      </c>
      <c r="D33" s="659">
        <v>79.491428571428571</v>
      </c>
      <c r="E33" s="640">
        <f t="shared" si="14"/>
        <v>9.0257142857142867</v>
      </c>
      <c r="F33" s="641">
        <f t="shared" si="15"/>
        <v>0.88645676083674785</v>
      </c>
      <c r="G33" s="654"/>
      <c r="H33" s="654"/>
      <c r="I33" s="654"/>
      <c r="J33" s="654"/>
      <c r="K33" s="606"/>
      <c r="L33" s="612">
        <v>3</v>
      </c>
      <c r="M33" s="638">
        <v>70.2</v>
      </c>
      <c r="N33" s="683">
        <f t="shared" si="16"/>
        <v>70.465714285714284</v>
      </c>
      <c r="O33" s="641">
        <f t="shared" ref="O33:O40" si="19">M33/N33</f>
        <v>0.99622916920082716</v>
      </c>
      <c r="P33" s="606"/>
      <c r="Q33" s="612">
        <v>3</v>
      </c>
      <c r="R33" s="638">
        <v>79.5</v>
      </c>
      <c r="S33" s="683">
        <f t="shared" si="17"/>
        <v>79.491428571428571</v>
      </c>
      <c r="T33" s="641">
        <f t="shared" si="18"/>
        <v>1.0001078283372871</v>
      </c>
      <c r="U33" s="606"/>
    </row>
    <row r="34" spans="1:21" ht="15" x14ac:dyDescent="0.25">
      <c r="A34" s="606"/>
      <c r="B34" s="612">
        <v>4</v>
      </c>
      <c r="C34" s="660">
        <v>88.022857142857163</v>
      </c>
      <c r="D34" s="659">
        <v>97.505714285714305</v>
      </c>
      <c r="E34" s="640">
        <f t="shared" si="14"/>
        <v>9.4828571428571422</v>
      </c>
      <c r="F34" s="641">
        <f t="shared" si="15"/>
        <v>0.90274562662994118</v>
      </c>
      <c r="G34" s="654"/>
      <c r="H34" s="654"/>
      <c r="I34" s="654"/>
      <c r="J34" s="654"/>
      <c r="K34" s="606"/>
      <c r="L34" s="612">
        <v>4</v>
      </c>
      <c r="M34" s="639">
        <v>88.2</v>
      </c>
      <c r="N34" s="683">
        <f t="shared" si="16"/>
        <v>88.022857142857163</v>
      </c>
      <c r="O34" s="641">
        <f t="shared" si="19"/>
        <v>1.0020124642949881</v>
      </c>
      <c r="P34" s="606"/>
      <c r="Q34" s="612">
        <v>4</v>
      </c>
      <c r="R34" s="639">
        <v>96.4</v>
      </c>
      <c r="S34" s="683">
        <f t="shared" si="17"/>
        <v>97.505714285714305</v>
      </c>
      <c r="T34" s="641">
        <f t="shared" si="18"/>
        <v>0.988660005274416</v>
      </c>
      <c r="U34" s="606"/>
    </row>
    <row r="35" spans="1:21" ht="15" x14ac:dyDescent="0.25">
      <c r="A35" s="606"/>
      <c r="B35" s="613">
        <v>5</v>
      </c>
      <c r="C35" s="661">
        <v>104.64428571428573</v>
      </c>
      <c r="D35" s="661">
        <v>113.39857142857147</v>
      </c>
      <c r="E35" s="632">
        <f t="shared" si="14"/>
        <v>8.7542857142857429</v>
      </c>
      <c r="F35" s="633">
        <f t="shared" si="15"/>
        <v>0.92280074075007223</v>
      </c>
      <c r="G35" s="653"/>
      <c r="H35" s="653"/>
      <c r="I35" s="653"/>
      <c r="J35" s="653"/>
      <c r="K35" s="606"/>
      <c r="L35" s="612">
        <v>5</v>
      </c>
      <c r="M35" s="631">
        <v>104.6</v>
      </c>
      <c r="N35" s="682">
        <f t="shared" si="16"/>
        <v>104.64428571428573</v>
      </c>
      <c r="O35" s="633">
        <f t="shared" si="19"/>
        <v>0.99957679758638085</v>
      </c>
      <c r="P35" s="606"/>
      <c r="Q35" s="612">
        <v>5</v>
      </c>
      <c r="R35" s="631">
        <v>113.4</v>
      </c>
      <c r="S35" s="682">
        <f t="shared" si="17"/>
        <v>113.39857142857147</v>
      </c>
      <c r="T35" s="633">
        <f t="shared" si="18"/>
        <v>1.0000125977903473</v>
      </c>
      <c r="U35" s="606"/>
    </row>
    <row r="36" spans="1:21" ht="15" x14ac:dyDescent="0.25">
      <c r="A36" s="606"/>
      <c r="B36" s="613">
        <v>10</v>
      </c>
      <c r="C36" s="662">
        <v>169.99857142857147</v>
      </c>
      <c r="D36" s="662">
        <v>181.91714285714289</v>
      </c>
      <c r="E36" s="640">
        <f t="shared" si="14"/>
        <v>11.918571428571425</v>
      </c>
      <c r="F36" s="641">
        <f t="shared" si="15"/>
        <v>0.93448351682869757</v>
      </c>
      <c r="G36" s="654"/>
      <c r="H36" s="654"/>
      <c r="I36" s="654"/>
      <c r="J36" s="654"/>
      <c r="K36" s="606"/>
      <c r="L36" s="612">
        <v>10</v>
      </c>
      <c r="M36" s="639">
        <v>169.8</v>
      </c>
      <c r="N36" s="683">
        <f t="shared" si="16"/>
        <v>169.99857142857147</v>
      </c>
      <c r="O36" s="641">
        <f t="shared" si="19"/>
        <v>0.99883192295733558</v>
      </c>
      <c r="P36" s="606"/>
      <c r="Q36" s="612">
        <v>10</v>
      </c>
      <c r="R36" s="639">
        <v>182</v>
      </c>
      <c r="S36" s="683">
        <f t="shared" si="17"/>
        <v>181.91714285714289</v>
      </c>
      <c r="T36" s="641">
        <f t="shared" si="18"/>
        <v>1.000455466381869</v>
      </c>
      <c r="U36" s="606"/>
    </row>
    <row r="37" spans="1:21" ht="15" x14ac:dyDescent="0.25">
      <c r="A37" s="606"/>
      <c r="B37" s="612">
        <v>20</v>
      </c>
      <c r="C37" s="658">
        <v>276.0057142857143</v>
      </c>
      <c r="D37" s="659">
        <v>301.8314285714286</v>
      </c>
      <c r="E37" s="640">
        <f t="shared" si="14"/>
        <v>25.825714285714298</v>
      </c>
      <c r="F37" s="641">
        <f t="shared" si="15"/>
        <v>0.91443662971762851</v>
      </c>
      <c r="G37" s="654"/>
      <c r="H37" s="654"/>
      <c r="I37" s="654"/>
      <c r="J37" s="654"/>
      <c r="K37" s="606"/>
      <c r="L37" s="612">
        <v>20</v>
      </c>
      <c r="M37" s="639">
        <v>276.8</v>
      </c>
      <c r="N37" s="683">
        <f t="shared" si="16"/>
        <v>276.0057142857143</v>
      </c>
      <c r="O37" s="641">
        <f t="shared" si="19"/>
        <v>1.0028777872093746</v>
      </c>
      <c r="P37" s="606"/>
      <c r="Q37" s="612">
        <v>20</v>
      </c>
      <c r="R37" s="639">
        <v>301.5</v>
      </c>
      <c r="S37" s="683">
        <f t="shared" si="17"/>
        <v>301.8314285714286</v>
      </c>
      <c r="T37" s="641">
        <f t="shared" si="18"/>
        <v>0.9989019414810536</v>
      </c>
      <c r="U37" s="606"/>
    </row>
    <row r="38" spans="1:21" ht="15" x14ac:dyDescent="0.25">
      <c r="A38" s="606"/>
      <c r="B38" s="612">
        <v>30</v>
      </c>
      <c r="C38" s="659">
        <v>373.39142857142855</v>
      </c>
      <c r="D38" s="659">
        <v>415.40285714285716</v>
      </c>
      <c r="E38" s="640">
        <f t="shared" si="14"/>
        <v>42.01142857142861</v>
      </c>
      <c r="F38" s="641">
        <f t="shared" si="15"/>
        <v>0.89886581700380341</v>
      </c>
      <c r="G38" s="654"/>
      <c r="H38" s="654"/>
      <c r="I38" s="654"/>
      <c r="J38" s="654"/>
      <c r="K38" s="606"/>
      <c r="L38" s="612">
        <v>30</v>
      </c>
      <c r="M38" s="639">
        <v>372.2</v>
      </c>
      <c r="N38" s="683">
        <f t="shared" si="16"/>
        <v>373.39142857142855</v>
      </c>
      <c r="O38" s="641">
        <f t="shared" si="19"/>
        <v>0.99680917000160696</v>
      </c>
      <c r="P38" s="606"/>
      <c r="Q38" s="612">
        <v>30</v>
      </c>
      <c r="R38" s="639">
        <v>415.9</v>
      </c>
      <c r="S38" s="683">
        <f t="shared" si="17"/>
        <v>415.40285714285716</v>
      </c>
      <c r="T38" s="641">
        <f t="shared" si="18"/>
        <v>1.0011967728401345</v>
      </c>
      <c r="U38" s="606"/>
    </row>
    <row r="39" spans="1:21" ht="15" x14ac:dyDescent="0.25">
      <c r="A39" s="606"/>
      <c r="B39" s="612">
        <v>40</v>
      </c>
      <c r="C39" s="659">
        <v>461.20571428571418</v>
      </c>
      <c r="D39" s="659">
        <v>521.43142857142857</v>
      </c>
      <c r="E39" s="640">
        <f t="shared" si="14"/>
        <v>60.225714285714389</v>
      </c>
      <c r="F39" s="641">
        <f t="shared" si="15"/>
        <v>0.88449926301773674</v>
      </c>
      <c r="G39" s="654"/>
      <c r="H39" s="654"/>
      <c r="I39" s="654"/>
      <c r="J39" s="654"/>
      <c r="K39" s="606"/>
      <c r="L39" s="612">
        <v>40</v>
      </c>
      <c r="M39" s="639">
        <v>462</v>
      </c>
      <c r="N39" s="683">
        <f t="shared" si="16"/>
        <v>461.20571428571418</v>
      </c>
      <c r="O39" s="641">
        <f t="shared" si="19"/>
        <v>1.0017221940008179</v>
      </c>
      <c r="P39" s="606"/>
      <c r="Q39" s="612">
        <v>40</v>
      </c>
      <c r="R39" s="639">
        <v>521.1</v>
      </c>
      <c r="S39" s="683">
        <f t="shared" si="17"/>
        <v>521.43142857142857</v>
      </c>
      <c r="T39" s="641">
        <f t="shared" si="18"/>
        <v>0.99936438704445463</v>
      </c>
      <c r="U39" s="606"/>
    </row>
    <row r="40" spans="1:21" ht="15" x14ac:dyDescent="0.25">
      <c r="A40" s="606"/>
      <c r="B40" s="612">
        <v>50</v>
      </c>
      <c r="C40" s="657">
        <v>538.49857142857138</v>
      </c>
      <c r="D40" s="663">
        <v>618.71714285714279</v>
      </c>
      <c r="E40" s="632">
        <f t="shared" si="14"/>
        <v>80.218571428571408</v>
      </c>
      <c r="F40" s="647">
        <f t="shared" si="15"/>
        <v>0.87034693905823568</v>
      </c>
      <c r="G40" s="653"/>
      <c r="H40" s="653"/>
      <c r="I40" s="653"/>
      <c r="J40" s="653"/>
      <c r="K40" s="606"/>
      <c r="L40" s="612">
        <v>50</v>
      </c>
      <c r="M40" s="631">
        <v>538.29999999999995</v>
      </c>
      <c r="N40" s="682">
        <f t="shared" si="16"/>
        <v>538.49857142857138</v>
      </c>
      <c r="O40" s="647">
        <f t="shared" si="19"/>
        <v>0.99963124985077556</v>
      </c>
      <c r="P40" s="606"/>
      <c r="Q40" s="612">
        <v>50</v>
      </c>
      <c r="R40" s="631">
        <v>618.79999999999995</v>
      </c>
      <c r="S40" s="682">
        <f t="shared" si="17"/>
        <v>618.71714285714279</v>
      </c>
      <c r="T40" s="647">
        <f t="shared" si="18"/>
        <v>1.0001339176452662</v>
      </c>
      <c r="U40" s="606"/>
    </row>
    <row r="41" spans="1:21" ht="15" x14ac:dyDescent="0.25">
      <c r="A41" s="606"/>
      <c r="B41" s="606"/>
      <c r="C41" s="606"/>
      <c r="D41" s="606"/>
      <c r="E41" s="606"/>
      <c r="F41" s="606"/>
      <c r="G41" s="606"/>
      <c r="H41" s="606"/>
      <c r="I41" s="606"/>
      <c r="J41" s="606"/>
      <c r="K41" s="606"/>
      <c r="L41" s="606"/>
      <c r="M41" s="606"/>
      <c r="N41" s="606"/>
      <c r="O41" s="606"/>
      <c r="P41" s="606"/>
      <c r="Q41" s="606"/>
      <c r="R41" s="606"/>
      <c r="S41" s="606"/>
      <c r="T41" s="606"/>
      <c r="U41" s="606"/>
    </row>
    <row r="47" spans="1:21" ht="15" x14ac:dyDescent="0.25">
      <c r="B47" s="606"/>
      <c r="C47" s="703" t="s">
        <v>453</v>
      </c>
      <c r="G47" s="606"/>
      <c r="H47" s="702" t="s">
        <v>454</v>
      </c>
    </row>
    <row r="48" spans="1:21" ht="15" x14ac:dyDescent="0.25">
      <c r="B48" s="612"/>
      <c r="C48" s="612"/>
      <c r="G48" s="612"/>
      <c r="H48" s="612"/>
    </row>
    <row r="49" spans="2:10" ht="15" x14ac:dyDescent="0.25">
      <c r="B49" s="612"/>
      <c r="C49" s="612" t="s">
        <v>441</v>
      </c>
      <c r="G49" s="612"/>
      <c r="H49" s="612" t="s">
        <v>441</v>
      </c>
    </row>
    <row r="50" spans="2:10" ht="15" x14ac:dyDescent="0.25">
      <c r="B50" s="612"/>
      <c r="C50" s="612" t="s">
        <v>33</v>
      </c>
      <c r="G50" s="612"/>
      <c r="H50" s="612" t="s">
        <v>33</v>
      </c>
    </row>
    <row r="51" spans="2:10" ht="15" x14ac:dyDescent="0.25">
      <c r="B51" s="612" t="s">
        <v>21</v>
      </c>
      <c r="C51" s="620" t="s">
        <v>446</v>
      </c>
      <c r="D51" s="704" t="s">
        <v>459</v>
      </c>
      <c r="E51" s="706" t="s">
        <v>458</v>
      </c>
      <c r="G51" s="612" t="s">
        <v>21</v>
      </c>
      <c r="H51" s="620" t="s">
        <v>446</v>
      </c>
      <c r="I51" s="704" t="s">
        <v>459</v>
      </c>
      <c r="J51" s="707" t="s">
        <v>458</v>
      </c>
    </row>
    <row r="52" spans="2:10" ht="15" x14ac:dyDescent="0.25">
      <c r="B52" s="612">
        <v>1</v>
      </c>
      <c r="C52" s="681">
        <f t="shared" ref="C52:C61" si="20">C19</f>
        <v>27.5</v>
      </c>
      <c r="D52" s="38"/>
      <c r="E52" s="38"/>
      <c r="G52" s="612">
        <v>1</v>
      </c>
      <c r="H52" s="681">
        <f t="shared" ref="H52:H61" si="21">D19</f>
        <v>29.9</v>
      </c>
      <c r="I52" s="38"/>
      <c r="J52" s="38"/>
    </row>
    <row r="53" spans="2:10" ht="15" x14ac:dyDescent="0.25">
      <c r="B53" s="612">
        <v>2</v>
      </c>
      <c r="C53" s="682">
        <f t="shared" si="20"/>
        <v>50.722857142857116</v>
      </c>
      <c r="D53" s="705">
        <f>C53-C52</f>
        <v>23.222857142857116</v>
      </c>
      <c r="E53" s="157">
        <f t="shared" ref="E53:E61" si="22">C53/C52</f>
        <v>1.8444675324675315</v>
      </c>
      <c r="G53" s="612">
        <v>2</v>
      </c>
      <c r="H53" s="682">
        <f t="shared" si="21"/>
        <v>57.505714285714284</v>
      </c>
      <c r="I53" s="705">
        <f>H53-H52</f>
        <v>27.605714285714285</v>
      </c>
      <c r="J53" s="157">
        <f t="shared" ref="J53:J61" si="23">H53/H52</f>
        <v>1.9232680363115147</v>
      </c>
    </row>
    <row r="54" spans="2:10" ht="15" x14ac:dyDescent="0.25">
      <c r="B54" s="612">
        <v>3</v>
      </c>
      <c r="C54" s="683">
        <f t="shared" si="20"/>
        <v>70.465714285714284</v>
      </c>
      <c r="D54" s="705">
        <f t="shared" ref="D54:D56" si="24">C54-C53</f>
        <v>19.742857142857169</v>
      </c>
      <c r="E54" s="157">
        <f t="shared" si="22"/>
        <v>1.3892299892975841</v>
      </c>
      <c r="G54" s="612">
        <v>3</v>
      </c>
      <c r="H54" s="683">
        <f t="shared" si="21"/>
        <v>79.491428571428571</v>
      </c>
      <c r="I54" s="705">
        <f t="shared" ref="I54:I56" si="25">H54-H53</f>
        <v>21.985714285714288</v>
      </c>
      <c r="J54" s="157">
        <f t="shared" si="23"/>
        <v>1.3823222536890745</v>
      </c>
    </row>
    <row r="55" spans="2:10" ht="15" x14ac:dyDescent="0.25">
      <c r="B55" s="612">
        <v>4</v>
      </c>
      <c r="C55" s="683">
        <f t="shared" si="20"/>
        <v>88.022857142857163</v>
      </c>
      <c r="D55" s="705">
        <f t="shared" si="24"/>
        <v>17.557142857142878</v>
      </c>
      <c r="E55" s="157">
        <f t="shared" si="22"/>
        <v>1.2491586587195398</v>
      </c>
      <c r="G55" s="612">
        <v>4</v>
      </c>
      <c r="H55" s="683">
        <f t="shared" si="21"/>
        <v>97.505714285714305</v>
      </c>
      <c r="I55" s="705">
        <f t="shared" si="25"/>
        <v>18.014285714285734</v>
      </c>
      <c r="J55" s="157">
        <f t="shared" si="23"/>
        <v>1.2266192221982606</v>
      </c>
    </row>
    <row r="56" spans="2:10" ht="15" x14ac:dyDescent="0.25">
      <c r="B56" s="612">
        <v>5</v>
      </c>
      <c r="C56" s="682">
        <f t="shared" si="20"/>
        <v>104.64428571428573</v>
      </c>
      <c r="D56" s="705">
        <f t="shared" si="24"/>
        <v>16.621428571428567</v>
      </c>
      <c r="E56" s="157">
        <f t="shared" si="22"/>
        <v>1.1888308231628149</v>
      </c>
      <c r="G56" s="612">
        <v>5</v>
      </c>
      <c r="H56" s="682">
        <f t="shared" si="21"/>
        <v>113.39857142857147</v>
      </c>
      <c r="I56" s="705">
        <f t="shared" si="25"/>
        <v>15.892857142857167</v>
      </c>
      <c r="J56" s="157">
        <f t="shared" si="23"/>
        <v>1.1629941102352979</v>
      </c>
    </row>
    <row r="57" spans="2:10" ht="15" x14ac:dyDescent="0.25">
      <c r="B57" s="612">
        <v>10</v>
      </c>
      <c r="C57" s="683">
        <f t="shared" si="20"/>
        <v>169.99857142857147</v>
      </c>
      <c r="D57" s="705">
        <f>(C57-C56)/5</f>
        <v>13.070857142857147</v>
      </c>
      <c r="E57" s="157">
        <f t="shared" si="22"/>
        <v>1.6245375489754408</v>
      </c>
      <c r="G57" s="612">
        <v>10</v>
      </c>
      <c r="H57" s="683">
        <f t="shared" si="21"/>
        <v>181.91714285714289</v>
      </c>
      <c r="I57" s="705">
        <f>(H57-H56)/5</f>
        <v>13.703714285714284</v>
      </c>
      <c r="J57" s="157">
        <f t="shared" si="23"/>
        <v>1.6042278184406451</v>
      </c>
    </row>
    <row r="58" spans="2:10" ht="15" x14ac:dyDescent="0.25">
      <c r="B58" s="612">
        <v>20</v>
      </c>
      <c r="C58" s="683">
        <f t="shared" si="20"/>
        <v>276.0057142857143</v>
      </c>
      <c r="D58" s="705">
        <f>(C58-C57)/10</f>
        <v>10.600714285714284</v>
      </c>
      <c r="E58" s="157">
        <f t="shared" si="22"/>
        <v>1.6235766687115016</v>
      </c>
      <c r="G58" s="612">
        <v>20</v>
      </c>
      <c r="H58" s="683">
        <f t="shared" si="21"/>
        <v>301.8314285714286</v>
      </c>
      <c r="I58" s="705">
        <f>(H58-H57)/10</f>
        <v>11.991428571428571</v>
      </c>
      <c r="J58" s="157">
        <f t="shared" si="23"/>
        <v>1.6591697947260133</v>
      </c>
    </row>
    <row r="59" spans="2:10" ht="15" x14ac:dyDescent="0.25">
      <c r="B59" s="612">
        <v>30</v>
      </c>
      <c r="C59" s="683">
        <f t="shared" si="20"/>
        <v>373.39142857142855</v>
      </c>
      <c r="D59" s="705">
        <f t="shared" ref="D59:D61" si="26">(C59-C58)/10</f>
        <v>9.738571428571424</v>
      </c>
      <c r="E59" s="157">
        <f t="shared" si="22"/>
        <v>1.3528394857249331</v>
      </c>
      <c r="G59" s="612">
        <v>30</v>
      </c>
      <c r="H59" s="683">
        <f t="shared" si="21"/>
        <v>415.40285714285716</v>
      </c>
      <c r="I59" s="705">
        <f t="shared" ref="I59:I61" si="27">(H59-H58)/10</f>
        <v>11.357142857142856</v>
      </c>
      <c r="J59" s="157">
        <f t="shared" si="23"/>
        <v>1.3762743631733891</v>
      </c>
    </row>
    <row r="60" spans="2:10" ht="15" x14ac:dyDescent="0.25">
      <c r="B60" s="612">
        <v>40</v>
      </c>
      <c r="C60" s="683">
        <f t="shared" si="20"/>
        <v>461.20571428571418</v>
      </c>
      <c r="D60" s="705">
        <f t="shared" si="26"/>
        <v>8.7814285714285631</v>
      </c>
      <c r="E60" s="157">
        <f t="shared" si="22"/>
        <v>1.2351802398096212</v>
      </c>
      <c r="G60" s="612">
        <v>40</v>
      </c>
      <c r="H60" s="683">
        <f t="shared" si="21"/>
        <v>521.43142857142857</v>
      </c>
      <c r="I60" s="705">
        <f t="shared" si="27"/>
        <v>10.602857142857141</v>
      </c>
      <c r="J60" s="157">
        <f t="shared" si="23"/>
        <v>1.2552427591804169</v>
      </c>
    </row>
    <row r="61" spans="2:10" ht="15" x14ac:dyDescent="0.25">
      <c r="B61" s="612">
        <v>50</v>
      </c>
      <c r="C61" s="682">
        <f t="shared" si="20"/>
        <v>538.49857142857138</v>
      </c>
      <c r="D61" s="705">
        <f t="shared" si="26"/>
        <v>7.7292857142857203</v>
      </c>
      <c r="E61" s="157">
        <f t="shared" si="22"/>
        <v>1.1675886806011573</v>
      </c>
      <c r="G61" s="612">
        <v>50</v>
      </c>
      <c r="H61" s="682">
        <f t="shared" si="21"/>
        <v>618.71714285714279</v>
      </c>
      <c r="I61" s="705">
        <f t="shared" si="27"/>
        <v>9.7285714285714224</v>
      </c>
      <c r="J61" s="157">
        <f t="shared" si="23"/>
        <v>1.1865743201407115</v>
      </c>
    </row>
  </sheetData>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E6:K15"/>
  <sheetViews>
    <sheetView workbookViewId="0">
      <selection activeCell="I6" sqref="I6:I15"/>
    </sheetView>
  </sheetViews>
  <sheetFormatPr defaultRowHeight="12.75" x14ac:dyDescent="0.2"/>
  <sheetData>
    <row r="6" spans="5:11" x14ac:dyDescent="0.2">
      <c r="E6" s="671">
        <v>27.5</v>
      </c>
      <c r="F6" s="672">
        <v>20.9</v>
      </c>
      <c r="G6" s="673">
        <v>1.32</v>
      </c>
      <c r="I6" s="671">
        <v>29.7</v>
      </c>
      <c r="J6" s="672">
        <v>29.9</v>
      </c>
      <c r="K6" s="673">
        <v>0.99</v>
      </c>
    </row>
    <row r="7" spans="5:11" x14ac:dyDescent="0.2">
      <c r="E7" s="674">
        <v>50.9</v>
      </c>
      <c r="F7" s="669">
        <v>40.799999999999997</v>
      </c>
      <c r="G7" s="675">
        <v>1.25</v>
      </c>
      <c r="I7" s="674">
        <v>57.5</v>
      </c>
      <c r="J7" s="669">
        <v>57.3</v>
      </c>
      <c r="K7" s="675">
        <v>1</v>
      </c>
    </row>
    <row r="8" spans="5:11" x14ac:dyDescent="0.2">
      <c r="E8" s="676">
        <v>70.2</v>
      </c>
      <c r="F8" s="670">
        <v>56.9</v>
      </c>
      <c r="G8" s="677">
        <v>1.23</v>
      </c>
      <c r="I8" s="676">
        <v>79.5</v>
      </c>
      <c r="J8" s="670">
        <v>79.3</v>
      </c>
      <c r="K8" s="677">
        <v>1</v>
      </c>
    </row>
    <row r="9" spans="5:11" x14ac:dyDescent="0.2">
      <c r="E9" s="676">
        <v>88.2</v>
      </c>
      <c r="F9" s="670">
        <v>70.400000000000006</v>
      </c>
      <c r="G9" s="677">
        <v>1.25</v>
      </c>
      <c r="I9" s="676">
        <v>96.4</v>
      </c>
      <c r="J9" s="670">
        <v>97.5</v>
      </c>
      <c r="K9" s="677">
        <v>0.99</v>
      </c>
    </row>
    <row r="10" spans="5:11" x14ac:dyDescent="0.2">
      <c r="E10" s="674">
        <v>104.6</v>
      </c>
      <c r="F10" s="669">
        <v>82.6</v>
      </c>
      <c r="G10" s="675">
        <v>1.27</v>
      </c>
      <c r="I10" s="674">
        <v>113.4</v>
      </c>
      <c r="J10" s="669">
        <v>113.5</v>
      </c>
      <c r="K10" s="675">
        <v>1</v>
      </c>
    </row>
    <row r="11" spans="5:11" x14ac:dyDescent="0.2">
      <c r="E11" s="676">
        <v>169.8</v>
      </c>
      <c r="F11" s="670">
        <v>134.5</v>
      </c>
      <c r="G11" s="677">
        <v>1.26</v>
      </c>
      <c r="I11" s="676">
        <v>182</v>
      </c>
      <c r="J11" s="670">
        <v>182</v>
      </c>
      <c r="K11" s="677">
        <v>1</v>
      </c>
    </row>
    <row r="12" spans="5:11" x14ac:dyDescent="0.2">
      <c r="E12" s="676">
        <v>276.8</v>
      </c>
      <c r="F12" s="670">
        <v>221.3</v>
      </c>
      <c r="G12" s="677">
        <v>1.25</v>
      </c>
      <c r="I12" s="676">
        <v>301.5</v>
      </c>
      <c r="J12" s="670">
        <v>302.5</v>
      </c>
      <c r="K12" s="677">
        <v>1</v>
      </c>
    </row>
    <row r="13" spans="5:11" x14ac:dyDescent="0.2">
      <c r="E13" s="676">
        <v>372.2</v>
      </c>
      <c r="F13" s="670">
        <v>297.89999999999998</v>
      </c>
      <c r="G13" s="677">
        <v>1.25</v>
      </c>
      <c r="I13" s="676">
        <v>415.9</v>
      </c>
      <c r="J13" s="670">
        <v>413.9</v>
      </c>
      <c r="K13" s="677">
        <v>1</v>
      </c>
    </row>
    <row r="14" spans="5:11" x14ac:dyDescent="0.2">
      <c r="E14" s="676">
        <v>462</v>
      </c>
      <c r="F14" s="670">
        <v>367.2</v>
      </c>
      <c r="G14" s="677">
        <v>1.26</v>
      </c>
      <c r="I14" s="676">
        <v>521.1</v>
      </c>
      <c r="J14" s="670">
        <v>519.20000000000005</v>
      </c>
      <c r="K14" s="677">
        <v>1</v>
      </c>
    </row>
    <row r="15" spans="5:11" x14ac:dyDescent="0.2">
      <c r="E15" s="678">
        <v>538.29999999999995</v>
      </c>
      <c r="F15" s="679">
        <v>431.8</v>
      </c>
      <c r="G15" s="680">
        <v>1.25</v>
      </c>
      <c r="I15" s="678">
        <v>618.79999999999995</v>
      </c>
      <c r="J15" s="679">
        <v>621.79999999999995</v>
      </c>
      <c r="K15" s="680">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transitionEntry="1" codeName="Sheet8">
    <tabColor theme="8" tint="0.79998168889431442"/>
    <pageSetUpPr fitToPage="1"/>
  </sheetPr>
  <dimension ref="A1:AD340"/>
  <sheetViews>
    <sheetView showGridLines="0" zoomScale="86" zoomScaleNormal="86"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22" ht="15" customHeight="1" x14ac:dyDescent="0.2">
      <c r="K1" t="s">
        <v>26</v>
      </c>
      <c r="P1" s="28" t="s">
        <v>362</v>
      </c>
    </row>
    <row r="2" spans="1:22" ht="15" customHeight="1" x14ac:dyDescent="0.2">
      <c r="A2" s="343" t="s">
        <v>306</v>
      </c>
      <c r="B2" s="331" t="s">
        <v>185</v>
      </c>
      <c r="C2" s="332"/>
      <c r="D2" s="332"/>
      <c r="E2" s="332"/>
      <c r="F2" s="332"/>
    </row>
    <row r="3" spans="1:22" ht="15" customHeight="1" x14ac:dyDescent="0.2">
      <c r="A3" s="332"/>
      <c r="B3" s="348" t="s">
        <v>292</v>
      </c>
      <c r="C3" s="332"/>
      <c r="D3" s="332"/>
      <c r="E3" s="332"/>
      <c r="F3" s="332"/>
    </row>
    <row r="4" spans="1:22" ht="15" customHeight="1" x14ac:dyDescent="0.2">
      <c r="A4" s="332"/>
      <c r="B4" s="348" t="s">
        <v>314</v>
      </c>
      <c r="C4" s="332"/>
      <c r="D4" s="332"/>
      <c r="E4" s="332"/>
      <c r="F4" s="332"/>
      <c r="G4" s="332"/>
    </row>
    <row r="5" spans="1:22" ht="15" customHeight="1" x14ac:dyDescent="0.2">
      <c r="A5" s="332"/>
      <c r="B5" s="333" t="s">
        <v>186</v>
      </c>
      <c r="C5" s="332"/>
      <c r="D5" s="332"/>
      <c r="E5" s="332"/>
      <c r="F5" s="332"/>
      <c r="G5" s="332"/>
    </row>
    <row r="6" spans="1:22" ht="15" customHeight="1" x14ac:dyDescent="0.2">
      <c r="A6" s="332"/>
      <c r="B6" s="333" t="s">
        <v>196</v>
      </c>
      <c r="C6" s="332"/>
      <c r="D6" s="332"/>
      <c r="E6" s="332"/>
      <c r="F6" s="332"/>
    </row>
    <row r="7" spans="1:22" ht="15" customHeight="1" x14ac:dyDescent="0.2">
      <c r="A7" s="332"/>
      <c r="B7" s="332"/>
      <c r="C7" s="332"/>
      <c r="D7" s="332"/>
      <c r="E7" s="332"/>
      <c r="F7" s="332"/>
      <c r="P7" s="210" t="s">
        <v>106</v>
      </c>
      <c r="Q7" s="210" t="s">
        <v>107</v>
      </c>
    </row>
    <row r="8" spans="1:22" ht="15" customHeight="1" x14ac:dyDescent="0.2">
      <c r="B8" s="6" t="s">
        <v>4</v>
      </c>
      <c r="C8" s="7"/>
      <c r="D8" s="7"/>
      <c r="E8" s="7"/>
      <c r="F8" s="7"/>
      <c r="G8" s="7"/>
      <c r="H8" s="7"/>
      <c r="I8" s="501" t="s">
        <v>370</v>
      </c>
      <c r="J8" s="7"/>
      <c r="K8" s="7"/>
      <c r="L8" s="8"/>
      <c r="O8" s="212" t="s">
        <v>108</v>
      </c>
      <c r="P8">
        <v>77</v>
      </c>
      <c r="Q8">
        <v>73</v>
      </c>
    </row>
    <row r="9" spans="1:22" ht="15" customHeight="1" x14ac:dyDescent="0.2">
      <c r="A9" t="s">
        <v>182</v>
      </c>
      <c r="B9" s="208" t="s">
        <v>173</v>
      </c>
      <c r="C9" s="158"/>
      <c r="D9" s="158"/>
      <c r="E9" s="158"/>
      <c r="F9" s="158"/>
      <c r="G9" s="158"/>
      <c r="H9" s="158"/>
      <c r="I9" s="158"/>
      <c r="J9" s="158"/>
      <c r="K9" s="158"/>
      <c r="L9" s="158"/>
      <c r="O9" s="212" t="s">
        <v>110</v>
      </c>
      <c r="P9" s="213">
        <v>73</v>
      </c>
      <c r="Q9" s="213">
        <v>69</v>
      </c>
    </row>
    <row r="10" spans="1:22" ht="15" customHeight="1" x14ac:dyDescent="0.2">
      <c r="A10" t="s">
        <v>182</v>
      </c>
      <c r="B10" s="320" t="s">
        <v>179</v>
      </c>
      <c r="C10" s="158"/>
      <c r="D10" s="501"/>
      <c r="E10" s="158"/>
      <c r="F10" s="158"/>
      <c r="G10" s="158"/>
      <c r="H10" s="158"/>
      <c r="I10" s="158"/>
      <c r="J10" s="158"/>
      <c r="K10" s="158"/>
      <c r="L10" s="158"/>
      <c r="O10" s="211" t="s">
        <v>109</v>
      </c>
      <c r="P10">
        <f>P8-P9</f>
        <v>4</v>
      </c>
      <c r="Q10">
        <f>Q8-Q9</f>
        <v>4</v>
      </c>
    </row>
    <row r="11" spans="1:22" ht="15" customHeight="1" x14ac:dyDescent="0.2">
      <c r="A11" t="s">
        <v>182</v>
      </c>
      <c r="B11" s="320" t="s">
        <v>180</v>
      </c>
      <c r="C11" s="158"/>
      <c r="D11" s="158"/>
      <c r="E11" s="158"/>
      <c r="F11" s="158"/>
      <c r="G11" s="158"/>
      <c r="H11" s="158"/>
      <c r="I11" s="158"/>
      <c r="J11" s="158"/>
      <c r="K11" s="158"/>
      <c r="L11" s="158"/>
    </row>
    <row r="12" spans="1:22" ht="15" customHeight="1" x14ac:dyDescent="0.2">
      <c r="A12" t="s">
        <v>182</v>
      </c>
      <c r="B12" s="320" t="s">
        <v>165</v>
      </c>
      <c r="C12" s="158"/>
      <c r="D12" s="158"/>
      <c r="E12" s="158"/>
      <c r="F12" s="158"/>
      <c r="G12" s="158"/>
      <c r="H12" s="158"/>
      <c r="I12" s="158"/>
      <c r="J12" s="158"/>
      <c r="K12" s="158"/>
      <c r="L12" s="158"/>
      <c r="M12" s="41"/>
    </row>
    <row r="13" spans="1:22" ht="15" customHeight="1" x14ac:dyDescent="0.2">
      <c r="A13" t="s">
        <v>182</v>
      </c>
      <c r="B13" s="208" t="s">
        <v>181</v>
      </c>
      <c r="C13" s="320" t="s">
        <v>220</v>
      </c>
      <c r="D13" s="347" t="s">
        <v>231</v>
      </c>
      <c r="E13" s="158" t="s">
        <v>276</v>
      </c>
      <c r="F13" s="158"/>
      <c r="G13" s="158"/>
      <c r="H13" s="158"/>
      <c r="I13" s="158"/>
      <c r="J13" s="158"/>
      <c r="K13" s="158"/>
      <c r="L13" s="158"/>
      <c r="M13" s="41"/>
    </row>
    <row r="14" spans="1:22" ht="15" customHeight="1" x14ac:dyDescent="0.2">
      <c r="A14" s="41"/>
      <c r="B14" s="209" t="s">
        <v>280</v>
      </c>
      <c r="C14" s="40"/>
      <c r="D14" s="40"/>
      <c r="E14" s="40"/>
      <c r="F14" s="40"/>
      <c r="G14" s="40"/>
      <c r="H14" s="40"/>
      <c r="I14" s="40"/>
      <c r="J14" s="40"/>
      <c r="K14" s="40"/>
      <c r="L14" s="40"/>
      <c r="M14" s="41"/>
    </row>
    <row r="15" spans="1:22" ht="15" customHeight="1" x14ac:dyDescent="0.2">
      <c r="A15" s="41"/>
      <c r="M15" s="41"/>
      <c r="U15" s="64" t="s">
        <v>221</v>
      </c>
      <c r="V15" t="s">
        <v>204</v>
      </c>
    </row>
    <row r="16" spans="1:22" ht="15" customHeight="1" x14ac:dyDescent="0.25">
      <c r="A16" s="41"/>
      <c r="B16" s="282"/>
      <c r="M16" s="41"/>
      <c r="U16" s="38" t="s">
        <v>44</v>
      </c>
      <c r="V16" t="s">
        <v>205</v>
      </c>
    </row>
    <row r="17" spans="1:23" ht="15" customHeight="1" x14ac:dyDescent="0.25">
      <c r="A17" s="41"/>
      <c r="B17" s="282"/>
      <c r="M17" s="41"/>
      <c r="U17" s="38" t="s">
        <v>45</v>
      </c>
      <c r="V17" s="346" t="s">
        <v>223</v>
      </c>
    </row>
    <row r="18" spans="1:23" ht="15" customHeight="1" x14ac:dyDescent="0.2">
      <c r="A18" s="41"/>
      <c r="B18" s="357" t="s">
        <v>230</v>
      </c>
      <c r="C18" s="40"/>
      <c r="D18" s="40"/>
      <c r="E18" s="40"/>
      <c r="F18" s="40"/>
      <c r="G18" s="40"/>
      <c r="H18" s="40"/>
      <c r="I18" s="40"/>
      <c r="J18" s="40"/>
      <c r="K18" s="40"/>
      <c r="L18" s="40"/>
      <c r="M18" s="41"/>
      <c r="U18" s="38" t="s">
        <v>48</v>
      </c>
      <c r="V18" s="346" t="s">
        <v>217</v>
      </c>
    </row>
    <row r="19" spans="1:23" ht="15" customHeight="1" x14ac:dyDescent="0.2">
      <c r="A19" s="41"/>
      <c r="B19" s="336" t="s">
        <v>197</v>
      </c>
      <c r="C19" s="337"/>
      <c r="D19" s="9"/>
      <c r="E19" s="415">
        <v>7</v>
      </c>
      <c r="F19" s="337"/>
      <c r="G19" s="341"/>
      <c r="H19" s="40"/>
      <c r="I19" s="40"/>
      <c r="J19" s="40"/>
      <c r="K19" s="40"/>
      <c r="L19" s="40"/>
      <c r="M19" s="41"/>
      <c r="U19" s="38" t="s">
        <v>75</v>
      </c>
      <c r="V19" s="28" t="s">
        <v>214</v>
      </c>
    </row>
    <row r="20" spans="1:23" ht="15" customHeight="1" x14ac:dyDescent="0.2">
      <c r="A20" s="41"/>
      <c r="B20" s="338"/>
      <c r="C20" s="335" t="str">
        <f>L243</f>
        <v>C-ZETA CURVE</v>
      </c>
      <c r="D20" s="40" t="str">
        <f>M243</f>
        <v xml:space="preserve"> 113_61_31</v>
      </c>
      <c r="E20" s="40"/>
      <c r="F20" s="40"/>
      <c r="G20" s="339"/>
      <c r="H20" s="40"/>
      <c r="I20" s="40"/>
      <c r="J20" s="40"/>
      <c r="K20" s="40"/>
      <c r="L20" s="40"/>
      <c r="M20" s="41"/>
      <c r="U20" s="38" t="s">
        <v>80</v>
      </c>
      <c r="V20" s="345" t="s">
        <v>225</v>
      </c>
    </row>
    <row r="21" spans="1:23" ht="15" customHeight="1" x14ac:dyDescent="0.2">
      <c r="B21" s="340" t="s">
        <v>302</v>
      </c>
      <c r="C21" s="24"/>
      <c r="D21" s="24"/>
      <c r="E21" s="24"/>
      <c r="F21" s="24"/>
      <c r="G21" s="17"/>
      <c r="U21" s="38"/>
      <c r="V21" s="28" t="s">
        <v>224</v>
      </c>
    </row>
    <row r="22" spans="1:23" ht="15" customHeight="1" x14ac:dyDescent="0.2">
      <c r="A22" s="90" t="s">
        <v>44</v>
      </c>
      <c r="B22" s="64" t="s">
        <v>62</v>
      </c>
      <c r="U22" s="38"/>
      <c r="V22" t="s">
        <v>208</v>
      </c>
    </row>
    <row r="23" spans="1:23" ht="15" customHeight="1" x14ac:dyDescent="0.2">
      <c r="U23" s="38" t="s">
        <v>82</v>
      </c>
      <c r="V23" t="s">
        <v>209</v>
      </c>
    </row>
    <row r="24" spans="1:23" ht="15" customHeight="1" x14ac:dyDescent="0.2">
      <c r="B24" s="28" t="s">
        <v>63</v>
      </c>
      <c r="U24" s="38" t="s">
        <v>85</v>
      </c>
      <c r="V24" t="s">
        <v>210</v>
      </c>
    </row>
    <row r="25" spans="1:23" ht="15" customHeight="1" x14ac:dyDescent="0.2">
      <c r="B25" s="28" t="s">
        <v>127</v>
      </c>
      <c r="U25" s="38" t="s">
        <v>95</v>
      </c>
      <c r="V25" s="28" t="s">
        <v>211</v>
      </c>
    </row>
    <row r="26" spans="1:23" ht="15" customHeight="1" thickBot="1" x14ac:dyDescent="0.25">
      <c r="U26" s="38" t="s">
        <v>98</v>
      </c>
      <c r="V26" s="28" t="s">
        <v>212</v>
      </c>
    </row>
    <row r="27" spans="1:23" ht="15" customHeight="1" x14ac:dyDescent="0.2">
      <c r="B27" s="67"/>
      <c r="C27" s="68" t="s">
        <v>28</v>
      </c>
      <c r="D27" s="68" t="s">
        <v>28</v>
      </c>
      <c r="E27" s="129" t="s">
        <v>28</v>
      </c>
      <c r="U27" s="38"/>
    </row>
    <row r="28" spans="1:23" ht="15" customHeight="1" x14ac:dyDescent="0.2">
      <c r="B28" s="67"/>
      <c r="C28" s="68" t="s">
        <v>260</v>
      </c>
      <c r="D28" s="68" t="s">
        <v>261</v>
      </c>
      <c r="E28" s="130" t="s">
        <v>31</v>
      </c>
      <c r="U28" s="346" t="s">
        <v>226</v>
      </c>
      <c r="W28" s="315"/>
    </row>
    <row r="29" spans="1:23" ht="15" customHeight="1" x14ac:dyDescent="0.2">
      <c r="B29" s="68" t="s">
        <v>21</v>
      </c>
      <c r="C29" s="68" t="s">
        <v>29</v>
      </c>
      <c r="D29" s="68" t="s">
        <v>30</v>
      </c>
      <c r="E29" s="130" t="s">
        <v>74</v>
      </c>
      <c r="U29" s="346" t="s">
        <v>242</v>
      </c>
      <c r="V29" s="315"/>
    </row>
    <row r="30" spans="1:23" ht="15" customHeight="1" x14ac:dyDescent="0.2">
      <c r="B30" s="68">
        <v>1</v>
      </c>
      <c r="C30" s="264">
        <v>2</v>
      </c>
      <c r="D30" s="264">
        <v>0.75</v>
      </c>
      <c r="E30" s="131">
        <f>SUM(C30:D30)/2</f>
        <v>1.375</v>
      </c>
      <c r="U30" s="346" t="s">
        <v>243</v>
      </c>
      <c r="V30" s="315"/>
    </row>
    <row r="31" spans="1:23" ht="15" customHeight="1" x14ac:dyDescent="0.2">
      <c r="B31" s="68">
        <v>2</v>
      </c>
      <c r="C31" s="264">
        <v>4</v>
      </c>
      <c r="D31" s="264">
        <v>2</v>
      </c>
      <c r="E31" s="131">
        <f t="shared" ref="E31:E39" si="0">SUM(C31:D31)/2</f>
        <v>3</v>
      </c>
      <c r="U31" s="346" t="s">
        <v>244</v>
      </c>
    </row>
    <row r="32" spans="1:23" ht="15" customHeight="1" x14ac:dyDescent="0.2">
      <c r="B32" s="68">
        <v>3</v>
      </c>
      <c r="C32" s="264">
        <v>5.8</v>
      </c>
      <c r="D32" s="264">
        <v>3.3</v>
      </c>
      <c r="E32" s="131">
        <f t="shared" si="0"/>
        <v>4.55</v>
      </c>
    </row>
    <row r="33" spans="1:5" ht="15" customHeight="1" x14ac:dyDescent="0.2">
      <c r="B33" s="68">
        <v>4</v>
      </c>
      <c r="C33" s="264">
        <v>7.51</v>
      </c>
      <c r="D33" s="264">
        <v>4.7</v>
      </c>
      <c r="E33" s="131">
        <f t="shared" si="0"/>
        <v>6.1050000000000004</v>
      </c>
    </row>
    <row r="34" spans="1:5" ht="15" customHeight="1" x14ac:dyDescent="0.2">
      <c r="B34" s="68">
        <v>5</v>
      </c>
      <c r="C34" s="264">
        <v>9</v>
      </c>
      <c r="D34" s="264">
        <v>5.9</v>
      </c>
      <c r="E34" s="131">
        <f t="shared" si="0"/>
        <v>7.45</v>
      </c>
    </row>
    <row r="35" spans="1:5" ht="15" customHeight="1" x14ac:dyDescent="0.2">
      <c r="B35" s="68">
        <v>10</v>
      </c>
      <c r="C35" s="264">
        <v>11.51</v>
      </c>
      <c r="D35" s="264">
        <v>10</v>
      </c>
      <c r="E35" s="131">
        <f t="shared" si="0"/>
        <v>10.754999999999999</v>
      </c>
    </row>
    <row r="36" spans="1:5" ht="15" customHeight="1" x14ac:dyDescent="0.2">
      <c r="B36" s="68">
        <v>20</v>
      </c>
      <c r="C36" s="264">
        <v>13</v>
      </c>
      <c r="D36" s="264">
        <v>13</v>
      </c>
      <c r="E36" s="131">
        <f t="shared" si="0"/>
        <v>13</v>
      </c>
    </row>
    <row r="37" spans="1:5" ht="15" customHeight="1" x14ac:dyDescent="0.2">
      <c r="B37" s="68">
        <v>30</v>
      </c>
      <c r="C37" s="264">
        <v>13</v>
      </c>
      <c r="D37" s="264">
        <v>13</v>
      </c>
      <c r="E37" s="131">
        <f t="shared" si="0"/>
        <v>13</v>
      </c>
    </row>
    <row r="38" spans="1:5" ht="15" customHeight="1" x14ac:dyDescent="0.2">
      <c r="B38" s="68">
        <v>40</v>
      </c>
      <c r="C38" s="264">
        <v>13</v>
      </c>
      <c r="D38" s="264">
        <v>13</v>
      </c>
      <c r="E38" s="131">
        <f t="shared" si="0"/>
        <v>13</v>
      </c>
    </row>
    <row r="39" spans="1:5" ht="15" customHeight="1" thickBot="1" x14ac:dyDescent="0.25">
      <c r="B39" s="68">
        <v>50</v>
      </c>
      <c r="C39" s="264">
        <v>13</v>
      </c>
      <c r="D39" s="264">
        <v>13</v>
      </c>
      <c r="E39" s="132">
        <f t="shared" si="0"/>
        <v>13</v>
      </c>
    </row>
    <row r="40" spans="1:5" ht="15" customHeight="1" x14ac:dyDescent="0.2"/>
    <row r="41" spans="1:5" ht="15" customHeight="1" x14ac:dyDescent="0.2"/>
    <row r="42" spans="1:5" ht="15" customHeight="1" x14ac:dyDescent="0.2"/>
    <row r="43" spans="1:5" ht="15" customHeight="1" x14ac:dyDescent="0.2"/>
    <row r="44" spans="1:5" ht="15" customHeight="1" x14ac:dyDescent="0.2">
      <c r="A44" s="64" t="s">
        <v>45</v>
      </c>
      <c r="B44" s="64" t="s">
        <v>113</v>
      </c>
    </row>
    <row r="45" spans="1:5" ht="15" customHeight="1" x14ac:dyDescent="0.2">
      <c r="B45" s="90" t="s">
        <v>65</v>
      </c>
    </row>
    <row r="46" spans="1:5" ht="15" customHeight="1" x14ac:dyDescent="0.2">
      <c r="B46" s="90" t="s">
        <v>67</v>
      </c>
    </row>
    <row r="47" spans="1:5" ht="15" customHeight="1" x14ac:dyDescent="0.2"/>
    <row r="48" spans="1:5" ht="15" customHeight="1" x14ac:dyDescent="0.2">
      <c r="B48" s="117" t="s">
        <v>125</v>
      </c>
      <c r="C48" s="117"/>
      <c r="D48" s="117"/>
    </row>
    <row r="49" spans="2:4" ht="15" customHeight="1" x14ac:dyDescent="0.2">
      <c r="B49" s="117" t="s">
        <v>66</v>
      </c>
      <c r="C49" s="117"/>
      <c r="D49" s="117" t="s">
        <v>34</v>
      </c>
    </row>
    <row r="50" spans="2:4" ht="15" customHeight="1" x14ac:dyDescent="0.2">
      <c r="B50" s="117" t="s">
        <v>42</v>
      </c>
      <c r="C50" s="117"/>
      <c r="D50" s="117" t="s">
        <v>42</v>
      </c>
    </row>
    <row r="51" spans="2:4" ht="15" customHeight="1" x14ac:dyDescent="0.2">
      <c r="B51" s="117" t="s">
        <v>43</v>
      </c>
      <c r="C51" s="117" t="s">
        <v>21</v>
      </c>
      <c r="D51" s="117" t="s">
        <v>43</v>
      </c>
    </row>
    <row r="52" spans="2:4" ht="15" customHeight="1" x14ac:dyDescent="0.2">
      <c r="B52" s="247">
        <v>22.3</v>
      </c>
      <c r="C52" s="106">
        <v>1</v>
      </c>
      <c r="D52" s="109">
        <v>22.3</v>
      </c>
    </row>
    <row r="53" spans="2:4" ht="15" customHeight="1" x14ac:dyDescent="0.2">
      <c r="B53" s="248">
        <v>44.8</v>
      </c>
      <c r="C53" s="106">
        <v>2</v>
      </c>
      <c r="D53" s="110">
        <v>44.8</v>
      </c>
    </row>
    <row r="54" spans="2:4" ht="15" customHeight="1" x14ac:dyDescent="0.2">
      <c r="B54" s="43">
        <v>62</v>
      </c>
      <c r="C54" s="106">
        <v>3</v>
      </c>
      <c r="D54" s="105">
        <v>62</v>
      </c>
    </row>
    <row r="55" spans="2:4" ht="15" customHeight="1" x14ac:dyDescent="0.2">
      <c r="B55" s="43">
        <v>75.5</v>
      </c>
      <c r="C55" s="106">
        <v>4</v>
      </c>
      <c r="D55" s="128">
        <v>77.5</v>
      </c>
    </row>
    <row r="56" spans="2:4" ht="15" customHeight="1" x14ac:dyDescent="0.2">
      <c r="B56" s="248">
        <v>91.1</v>
      </c>
      <c r="C56" s="106">
        <v>5</v>
      </c>
      <c r="D56" s="110">
        <v>91.1</v>
      </c>
    </row>
    <row r="57" spans="2:4" ht="15" customHeight="1" x14ac:dyDescent="0.2">
      <c r="B57" s="43">
        <v>150.69999999999999</v>
      </c>
      <c r="C57" s="106">
        <v>10</v>
      </c>
      <c r="D57" s="105">
        <v>150.69999999999999</v>
      </c>
    </row>
    <row r="58" spans="2:4" ht="15" customHeight="1" x14ac:dyDescent="0.2">
      <c r="B58" s="43">
        <v>252.2</v>
      </c>
      <c r="C58" s="106">
        <v>20</v>
      </c>
      <c r="D58" s="105">
        <v>252.2</v>
      </c>
    </row>
    <row r="59" spans="2:4" ht="15" customHeight="1" x14ac:dyDescent="0.2">
      <c r="B59" s="43">
        <v>340.1</v>
      </c>
      <c r="C59" s="106">
        <v>30</v>
      </c>
      <c r="D59" s="105">
        <v>340.1</v>
      </c>
    </row>
    <row r="60" spans="2:4" ht="15" customHeight="1" x14ac:dyDescent="0.2">
      <c r="B60" s="43">
        <v>420.4</v>
      </c>
      <c r="C60" s="106">
        <v>40</v>
      </c>
      <c r="D60" s="105">
        <v>420.4</v>
      </c>
    </row>
    <row r="61" spans="2:4" ht="15" customHeight="1" x14ac:dyDescent="0.2">
      <c r="B61" s="248">
        <v>498</v>
      </c>
      <c r="C61" s="106">
        <v>50</v>
      </c>
      <c r="D61" s="110">
        <v>498</v>
      </c>
    </row>
    <row r="62" spans="2:4" ht="15" customHeight="1" x14ac:dyDescent="0.2"/>
    <row r="63" spans="2:4" ht="15" customHeight="1" x14ac:dyDescent="0.2">
      <c r="C63" s="315" t="s">
        <v>126</v>
      </c>
    </row>
    <row r="64" spans="2:4" ht="15" customHeight="1" x14ac:dyDescent="0.2"/>
    <row r="65" spans="1:11" ht="15" customHeight="1" x14ac:dyDescent="0.2"/>
    <row r="66" spans="1:11" ht="15" customHeight="1" x14ac:dyDescent="0.2">
      <c r="A66" s="64" t="s">
        <v>48</v>
      </c>
      <c r="B66" s="64" t="s">
        <v>68</v>
      </c>
    </row>
    <row r="67" spans="1:11" ht="15" customHeight="1" x14ac:dyDescent="0.2">
      <c r="B67" s="90" t="s">
        <v>70</v>
      </c>
    </row>
    <row r="68" spans="1:11" ht="15" customHeight="1" x14ac:dyDescent="0.2">
      <c r="B68" s="90"/>
    </row>
    <row r="69" spans="1:11" ht="15" customHeight="1" x14ac:dyDescent="0.2"/>
    <row r="70" spans="1:11" ht="15" customHeight="1" x14ac:dyDescent="0.2">
      <c r="E70" s="409">
        <f>INDEX(LINEST(D$78:D$83,($C$78:$C$83)^{1,2,3}),1)</f>
        <v>0.12097327355534232</v>
      </c>
      <c r="F70" s="408">
        <f>INDEX(LINEST(D$83:D$87,($C$83:$C$87)^{1,2,3}),1)</f>
        <v>9.0833333333334172E-4</v>
      </c>
      <c r="H70" t="s">
        <v>300</v>
      </c>
    </row>
    <row r="71" spans="1:11" ht="15" customHeight="1" x14ac:dyDescent="0.2">
      <c r="E71" s="409">
        <f>INDEX(LINEST(D$78:D$83,($C$78:$C$83)^{1,2,3}),2)</f>
        <v>-2.5062060446282528</v>
      </c>
      <c r="F71" s="408">
        <f>INDEX(LINEST(D$83:D$87,($C$83:$C$87)^{1,2,3}),2)</f>
        <v>-0.12132142857142943</v>
      </c>
      <c r="H71" t="s">
        <v>301</v>
      </c>
    </row>
    <row r="72" spans="1:11" ht="15" customHeight="1" x14ac:dyDescent="0.2">
      <c r="E72" s="409">
        <f>INDEX(LINEST(D$78:D$83,($C$78:$C$83)^{1,2,3}),3)</f>
        <v>28.384521591904647</v>
      </c>
      <c r="F72" s="408">
        <f>INDEX(LINEST(D$83:D$87,($C$83:$C$87)^{1,2,3}),3)</f>
        <v>13.145952380952403</v>
      </c>
    </row>
    <row r="73" spans="1:11" ht="15" customHeight="1" x14ac:dyDescent="0.2">
      <c r="E73" s="409">
        <f>INDEX(LINEST(D$78:D$83,($C$78:$C$83)^{1,2,3}),4)</f>
        <v>-3.4905604975885574</v>
      </c>
      <c r="F73" s="408">
        <f>INDEX(LINEST(D$83:D$87,($C$83:$C$87)^{1,2,3}),4)</f>
        <v>30.479999999999897</v>
      </c>
    </row>
    <row r="74" spans="1:11" ht="15" customHeight="1" x14ac:dyDescent="0.2">
      <c r="E74" s="1"/>
      <c r="F74" s="1"/>
    </row>
    <row r="75" spans="1:11" ht="15" customHeight="1" x14ac:dyDescent="0.2">
      <c r="C75" s="116"/>
      <c r="D75" s="117" t="s">
        <v>69</v>
      </c>
      <c r="E75" s="117"/>
      <c r="F75" s="1"/>
      <c r="H75" s="133"/>
      <c r="I75" s="391" t="s">
        <v>56</v>
      </c>
      <c r="J75" s="133"/>
      <c r="K75" s="133"/>
    </row>
    <row r="76" spans="1:11" ht="15" customHeight="1" x14ac:dyDescent="0.2">
      <c r="C76" s="116"/>
      <c r="D76" s="117" t="s">
        <v>42</v>
      </c>
      <c r="E76" s="117"/>
      <c r="F76" s="1"/>
      <c r="H76" s="133"/>
      <c r="I76" s="392" t="s">
        <v>33</v>
      </c>
      <c r="J76" s="133" t="s">
        <v>34</v>
      </c>
      <c r="K76" s="413" t="s">
        <v>298</v>
      </c>
    </row>
    <row r="77" spans="1:11" ht="15" customHeight="1" x14ac:dyDescent="0.2">
      <c r="C77" s="116" t="s">
        <v>21</v>
      </c>
      <c r="D77" s="117" t="s">
        <v>43</v>
      </c>
      <c r="E77" s="117"/>
      <c r="F77" s="1"/>
      <c r="H77" s="133" t="s">
        <v>21</v>
      </c>
      <c r="I77" s="392" t="s">
        <v>72</v>
      </c>
      <c r="J77" s="133" t="s">
        <v>264</v>
      </c>
      <c r="K77" s="414" t="s">
        <v>299</v>
      </c>
    </row>
    <row r="78" spans="1:11" ht="15" customHeight="1" x14ac:dyDescent="0.2">
      <c r="C78" s="106">
        <v>1</v>
      </c>
      <c r="D78" s="109">
        <f>D52</f>
        <v>22.3</v>
      </c>
      <c r="E78" s="114">
        <f>(E$70*($C78)^3)+(E$71*($C78)^2)+(E$72*($C78)^1)+(E$73)</f>
        <v>22.508728323243179</v>
      </c>
      <c r="F78" s="2"/>
      <c r="H78" s="106">
        <v>1</v>
      </c>
      <c r="I78" s="393">
        <f>E78</f>
        <v>22.508728323243179</v>
      </c>
      <c r="J78" s="109">
        <f>B52</f>
        <v>22.3</v>
      </c>
      <c r="K78" s="410">
        <f>I78-J78</f>
        <v>0.20872832324317869</v>
      </c>
    </row>
    <row r="79" spans="1:11" ht="15" customHeight="1" x14ac:dyDescent="0.2">
      <c r="C79" s="106">
        <v>2</v>
      </c>
      <c r="D79" s="110">
        <f t="shared" ref="D79:D87" si="1">D53</f>
        <v>44.8</v>
      </c>
      <c r="E79" s="114">
        <f t="shared" ref="E79:E83" si="2">(E$70*($C79)^3)+(E$71*($C79)^2)+(E$72*($C79)^1)+(E$73)</f>
        <v>44.221444696150471</v>
      </c>
      <c r="F79" s="2"/>
      <c r="H79" s="106">
        <v>2</v>
      </c>
      <c r="I79" s="393">
        <f>E79</f>
        <v>44.221444696150471</v>
      </c>
      <c r="J79" s="110">
        <f t="shared" ref="J79:J87" si="3">B53</f>
        <v>44.8</v>
      </c>
      <c r="K79" s="411">
        <f t="shared" ref="K79:K87" si="4">I79-J79</f>
        <v>-0.57855530384952658</v>
      </c>
    </row>
    <row r="80" spans="1:11" ht="15" customHeight="1" x14ac:dyDescent="0.2">
      <c r="B80" t="s">
        <v>296</v>
      </c>
      <c r="C80" s="106">
        <v>3</v>
      </c>
      <c r="D80" s="105">
        <f t="shared" si="1"/>
        <v>62</v>
      </c>
      <c r="E80" s="114">
        <f t="shared" si="2"/>
        <v>62.373428262465353</v>
      </c>
      <c r="F80" s="2"/>
      <c r="H80" s="106">
        <v>3</v>
      </c>
      <c r="I80" s="393">
        <f>E80</f>
        <v>62.373428262465353</v>
      </c>
      <c r="J80" s="105">
        <f t="shared" si="3"/>
        <v>62</v>
      </c>
      <c r="K80" s="412">
        <f t="shared" si="4"/>
        <v>0.3734282624653531</v>
      </c>
    </row>
    <row r="81" spans="1:11" ht="15" customHeight="1" x14ac:dyDescent="0.2">
      <c r="C81" s="106">
        <v>4</v>
      </c>
      <c r="D81" s="105">
        <f t="shared" si="1"/>
        <v>77.5</v>
      </c>
      <c r="E81" s="114">
        <f t="shared" si="2"/>
        <v>77.690518663519896</v>
      </c>
      <c r="F81" s="2"/>
      <c r="H81" s="106">
        <v>4</v>
      </c>
      <c r="I81" s="393">
        <f>E81</f>
        <v>77.690518663519896</v>
      </c>
      <c r="J81" s="105">
        <f t="shared" si="3"/>
        <v>75.5</v>
      </c>
      <c r="K81" s="412">
        <f t="shared" si="4"/>
        <v>2.1905186635198959</v>
      </c>
    </row>
    <row r="82" spans="1:11" ht="15" customHeight="1" x14ac:dyDescent="0.2">
      <c r="C82" s="106">
        <v>5</v>
      </c>
      <c r="D82" s="110">
        <f t="shared" si="1"/>
        <v>91.1</v>
      </c>
      <c r="E82" s="114">
        <f t="shared" si="2"/>
        <v>90.898555540646157</v>
      </c>
      <c r="F82" s="2"/>
      <c r="H82" s="106">
        <v>5</v>
      </c>
      <c r="I82" s="393">
        <f>E82</f>
        <v>90.898555540646157</v>
      </c>
      <c r="J82" s="110">
        <f t="shared" si="3"/>
        <v>91.1</v>
      </c>
      <c r="K82" s="411">
        <f t="shared" si="4"/>
        <v>-0.20144445935383715</v>
      </c>
    </row>
    <row r="83" spans="1:11" ht="15" customHeight="1" x14ac:dyDescent="0.2">
      <c r="C83" s="106">
        <v>10</v>
      </c>
      <c r="D83" s="105">
        <f t="shared" si="1"/>
        <v>150.69999999999999</v>
      </c>
      <c r="E83" s="114">
        <f t="shared" si="2"/>
        <v>150.70732451397498</v>
      </c>
      <c r="F83" s="115">
        <f>(F$70*($C83)^3)+(F$71*($C83)^2)+(F$72*($C83)^1)+(F$73)</f>
        <v>150.71571428571431</v>
      </c>
      <c r="H83" s="106">
        <v>10</v>
      </c>
      <c r="I83" s="393">
        <f>(E83+F83)/2</f>
        <v>150.71151939984463</v>
      </c>
      <c r="J83" s="105">
        <f t="shared" si="3"/>
        <v>150.69999999999999</v>
      </c>
      <c r="K83" s="412">
        <f t="shared" si="4"/>
        <v>1.151939984464434E-2</v>
      </c>
    </row>
    <row r="84" spans="1:11" ht="15" customHeight="1" x14ac:dyDescent="0.2">
      <c r="C84" s="106">
        <v>20</v>
      </c>
      <c r="D84" s="105">
        <f t="shared" si="1"/>
        <v>252.2</v>
      </c>
      <c r="E84" s="2"/>
      <c r="F84" s="115">
        <f t="shared" ref="F84:F87" si="5">(F$70*($C84)^3)+(F$71*($C84)^2)+(F$72*($C84)^1)+(F$73)</f>
        <v>252.13714285714292</v>
      </c>
      <c r="H84" s="106">
        <v>20</v>
      </c>
      <c r="I84" s="393">
        <f>F84</f>
        <v>252.13714285714292</v>
      </c>
      <c r="J84" s="105">
        <f t="shared" si="3"/>
        <v>252.2</v>
      </c>
      <c r="K84" s="412">
        <f t="shared" si="4"/>
        <v>-6.2857142857069448E-2</v>
      </c>
    </row>
    <row r="85" spans="1:11" ht="15" customHeight="1" x14ac:dyDescent="0.2">
      <c r="B85" s="28" t="s">
        <v>297</v>
      </c>
      <c r="C85" s="106">
        <v>30</v>
      </c>
      <c r="D85" s="105">
        <f t="shared" si="1"/>
        <v>340.1</v>
      </c>
      <c r="E85" s="2"/>
      <c r="F85" s="115">
        <f t="shared" si="5"/>
        <v>340.1942857142858</v>
      </c>
      <c r="H85" s="106">
        <v>30</v>
      </c>
      <c r="I85" s="393">
        <f>F85</f>
        <v>340.1942857142858</v>
      </c>
      <c r="J85" s="105">
        <f t="shared" si="3"/>
        <v>340.1</v>
      </c>
      <c r="K85" s="412">
        <f t="shared" si="4"/>
        <v>9.4285714285774702E-2</v>
      </c>
    </row>
    <row r="86" spans="1:11" ht="15" customHeight="1" x14ac:dyDescent="0.2">
      <c r="C86" s="106">
        <v>40</v>
      </c>
      <c r="D86" s="105">
        <f t="shared" si="1"/>
        <v>420.4</v>
      </c>
      <c r="E86" s="2"/>
      <c r="F86" s="115">
        <f t="shared" si="5"/>
        <v>420.33714285714279</v>
      </c>
      <c r="H86" s="106">
        <v>40</v>
      </c>
      <c r="I86" s="393">
        <f>F86</f>
        <v>420.33714285714279</v>
      </c>
      <c r="J86" s="105">
        <f t="shared" si="3"/>
        <v>420.4</v>
      </c>
      <c r="K86" s="412">
        <f t="shared" si="4"/>
        <v>-6.2857142857183135E-2</v>
      </c>
    </row>
    <row r="87" spans="1:11" ht="15" customHeight="1" x14ac:dyDescent="0.2">
      <c r="C87" s="106">
        <v>50</v>
      </c>
      <c r="D87" s="110">
        <f t="shared" si="1"/>
        <v>498</v>
      </c>
      <c r="E87" s="2"/>
      <c r="F87" s="115">
        <f t="shared" si="5"/>
        <v>498.01571428571424</v>
      </c>
      <c r="H87" s="106">
        <v>50</v>
      </c>
      <c r="I87" s="394">
        <f>F87</f>
        <v>498.01571428571424</v>
      </c>
      <c r="J87" s="110">
        <f t="shared" si="3"/>
        <v>498</v>
      </c>
      <c r="K87" s="411">
        <f t="shared" si="4"/>
        <v>1.571428571423894E-2</v>
      </c>
    </row>
    <row r="88" spans="1:11" ht="15" customHeight="1" x14ac:dyDescent="0.2">
      <c r="I88" s="38"/>
    </row>
    <row r="89" spans="1:11" ht="15" customHeight="1" x14ac:dyDescent="0.2"/>
    <row r="90" spans="1:11" ht="15" customHeight="1" x14ac:dyDescent="0.2"/>
    <row r="91" spans="1:11" ht="15" customHeight="1" x14ac:dyDescent="0.2">
      <c r="I91" s="38"/>
    </row>
    <row r="92" spans="1:11" ht="15" customHeight="1" x14ac:dyDescent="0.2">
      <c r="A92" s="64" t="s">
        <v>75</v>
      </c>
      <c r="B92" s="64" t="s">
        <v>73</v>
      </c>
    </row>
    <row r="93" spans="1:11" ht="15" customHeight="1" x14ac:dyDescent="0.2">
      <c r="A93" s="64"/>
      <c r="B93" s="64"/>
    </row>
    <row r="94" spans="1:11" ht="15" customHeight="1" x14ac:dyDescent="0.2">
      <c r="A94" s="64"/>
      <c r="B94" s="64" t="s">
        <v>76</v>
      </c>
    </row>
    <row r="95" spans="1:11" ht="15" customHeight="1" x14ac:dyDescent="0.2">
      <c r="A95" s="64"/>
      <c r="B95" s="64"/>
      <c r="K95" s="90" t="s">
        <v>78</v>
      </c>
    </row>
    <row r="96" spans="1:11" ht="15" customHeight="1" x14ac:dyDescent="0.2">
      <c r="I96" s="38"/>
    </row>
    <row r="97" spans="2:18" ht="15" customHeight="1" thickBot="1" x14ac:dyDescent="0.25">
      <c r="I97" s="38"/>
      <c r="M97" t="s">
        <v>94</v>
      </c>
    </row>
    <row r="98" spans="2:18" ht="15" customHeight="1" x14ac:dyDescent="0.2">
      <c r="B98" s="116"/>
      <c r="C98" s="111"/>
      <c r="D98" s="111"/>
      <c r="E98" s="313"/>
      <c r="F98" s="134" t="s">
        <v>56</v>
      </c>
      <c r="G98" s="134" t="s">
        <v>56</v>
      </c>
      <c r="H98" s="112" t="s">
        <v>222</v>
      </c>
      <c r="J98" s="129" t="s">
        <v>28</v>
      </c>
      <c r="K98" s="147"/>
      <c r="M98" s="141"/>
      <c r="N98" s="139" t="s">
        <v>79</v>
      </c>
    </row>
    <row r="99" spans="2:18" ht="15" customHeight="1" x14ac:dyDescent="0.2">
      <c r="B99" s="116"/>
      <c r="C99" s="108"/>
      <c r="D99" s="108"/>
      <c r="E99" s="117" t="s">
        <v>32</v>
      </c>
      <c r="F99" s="135" t="s">
        <v>33</v>
      </c>
      <c r="G99" s="135" t="s">
        <v>35</v>
      </c>
      <c r="H99" s="112" t="s">
        <v>28</v>
      </c>
      <c r="J99" s="342" t="s">
        <v>31</v>
      </c>
      <c r="K99" s="148" t="s">
        <v>77</v>
      </c>
      <c r="M99" s="142" t="s">
        <v>52</v>
      </c>
      <c r="N99" s="140" t="s">
        <v>42</v>
      </c>
    </row>
    <row r="100" spans="2:18" ht="15" customHeight="1" thickBot="1" x14ac:dyDescent="0.25">
      <c r="B100" s="116" t="s">
        <v>21</v>
      </c>
      <c r="C100" s="111"/>
      <c r="D100" s="111"/>
      <c r="E100" s="313"/>
      <c r="F100" s="314" t="s">
        <v>53</v>
      </c>
      <c r="G100" s="314" t="s">
        <v>160</v>
      </c>
      <c r="H100" s="113" t="s">
        <v>158</v>
      </c>
      <c r="J100" s="344" t="s">
        <v>74</v>
      </c>
      <c r="K100" s="149" t="s">
        <v>55</v>
      </c>
      <c r="M100" s="142" t="s">
        <v>36</v>
      </c>
      <c r="N100" s="140"/>
      <c r="O100" s="265" t="s">
        <v>128</v>
      </c>
      <c r="P100" s="38" t="s">
        <v>136</v>
      </c>
      <c r="Q100" s="214" t="s">
        <v>137</v>
      </c>
    </row>
    <row r="101" spans="2:18" ht="15" customHeight="1" x14ac:dyDescent="0.2">
      <c r="B101" s="106">
        <v>1</v>
      </c>
      <c r="C101" s="119"/>
      <c r="D101" s="119"/>
      <c r="E101" s="119">
        <f>F101+G101</f>
        <v>22.822728323243179</v>
      </c>
      <c r="F101" s="119">
        <f>I78</f>
        <v>22.508728323243179</v>
      </c>
      <c r="G101" s="118">
        <v>0.314</v>
      </c>
      <c r="H101" s="152">
        <f>G101/E101</f>
        <v>1.3758214861639279E-2</v>
      </c>
      <c r="J101" s="137">
        <f t="shared" ref="J101:J110" si="6">E30/100</f>
        <v>1.375E-2</v>
      </c>
      <c r="K101" s="150">
        <f t="shared" ref="K101:K110" si="7">J101-H101</f>
        <v>-8.2148616392784674E-6</v>
      </c>
      <c r="M101" s="137">
        <f>E101/F101</f>
        <v>1.013950143939307</v>
      </c>
      <c r="N101" s="143">
        <f t="shared" ref="N101:N110" si="8">F101*M101</f>
        <v>22.822728323243179</v>
      </c>
      <c r="O101" s="287">
        <f>N101-E101</f>
        <v>0</v>
      </c>
      <c r="P101" s="288">
        <f>J101/H101</f>
        <v>0.99940291224392908</v>
      </c>
      <c r="Q101" s="289">
        <f>P101*G101</f>
        <v>0.31381251444459374</v>
      </c>
      <c r="R101" s="267" t="s">
        <v>200</v>
      </c>
    </row>
    <row r="102" spans="2:18" ht="15" customHeight="1" x14ac:dyDescent="0.2">
      <c r="B102" s="106">
        <v>2</v>
      </c>
      <c r="C102" s="120"/>
      <c r="D102" s="120"/>
      <c r="E102" s="120">
        <f t="shared" ref="E102:E110" si="9">F102+G102</f>
        <v>45.589444696150473</v>
      </c>
      <c r="F102" s="120">
        <f t="shared" ref="F102:F110" si="10">I79</f>
        <v>44.221444696150471</v>
      </c>
      <c r="G102" s="118">
        <v>1.3680000000000001</v>
      </c>
      <c r="H102" s="153">
        <f t="shared" ref="H102:H110" si="11">G102/E102</f>
        <v>3.0006945886654167E-2</v>
      </c>
      <c r="J102" s="137">
        <f t="shared" si="6"/>
        <v>0.03</v>
      </c>
      <c r="K102" s="150">
        <f t="shared" si="7"/>
        <v>-6.9458866541680098E-6</v>
      </c>
      <c r="M102" s="137">
        <f t="shared" ref="M102:M110" si="12">E102/F102</f>
        <v>1.0309352172774917</v>
      </c>
      <c r="N102" s="144">
        <f t="shared" si="8"/>
        <v>45.589444696150466</v>
      </c>
      <c r="O102" s="287">
        <f t="shared" ref="O102:O110" si="13">N102-E102</f>
        <v>0</v>
      </c>
      <c r="P102" s="288">
        <f t="shared" ref="P102:P110" si="14">J102/H102</f>
        <v>0.99976852403838745</v>
      </c>
      <c r="Q102" s="290">
        <f t="shared" ref="Q102:Q110" si="15">P102*G102</f>
        <v>1.3676833408845142</v>
      </c>
      <c r="R102" s="267" t="s">
        <v>141</v>
      </c>
    </row>
    <row r="103" spans="2:18" ht="15" customHeight="1" x14ac:dyDescent="0.2">
      <c r="B103" s="106">
        <v>3</v>
      </c>
      <c r="C103" s="121"/>
      <c r="D103" s="121"/>
      <c r="E103" s="121">
        <f t="shared" si="9"/>
        <v>65.347428262465357</v>
      </c>
      <c r="F103" s="121">
        <f t="shared" si="10"/>
        <v>62.373428262465353</v>
      </c>
      <c r="G103" s="118">
        <v>2.9740000000000002</v>
      </c>
      <c r="H103" s="154">
        <f t="shared" si="11"/>
        <v>4.5510589767282762E-2</v>
      </c>
      <c r="J103" s="137">
        <f t="shared" si="6"/>
        <v>4.5499999999999999E-2</v>
      </c>
      <c r="K103" s="150">
        <f t="shared" si="7"/>
        <v>-1.0589767282763451E-5</v>
      </c>
      <c r="M103" s="137">
        <f t="shared" si="12"/>
        <v>1.0476805601815811</v>
      </c>
      <c r="N103" s="145">
        <f t="shared" si="8"/>
        <v>65.347428262465357</v>
      </c>
      <c r="O103" s="287">
        <f t="shared" si="13"/>
        <v>0</v>
      </c>
      <c r="P103" s="288">
        <f t="shared" si="14"/>
        <v>0.99976731201821567</v>
      </c>
      <c r="Q103" s="288">
        <f t="shared" si="15"/>
        <v>2.9733079859421734</v>
      </c>
      <c r="R103" s="267" t="s">
        <v>143</v>
      </c>
    </row>
    <row r="104" spans="2:18" ht="15" customHeight="1" x14ac:dyDescent="0.2">
      <c r="B104" s="106">
        <v>4</v>
      </c>
      <c r="C104" s="121"/>
      <c r="D104" s="121"/>
      <c r="E104" s="121">
        <f t="shared" si="9"/>
        <v>82.744518663519898</v>
      </c>
      <c r="F104" s="121">
        <f t="shared" si="10"/>
        <v>77.690518663519896</v>
      </c>
      <c r="G104" s="118">
        <v>5.0540000000000003</v>
      </c>
      <c r="H104" s="154">
        <f t="shared" si="11"/>
        <v>6.1079574594566942E-2</v>
      </c>
      <c r="J104" s="137">
        <f t="shared" si="6"/>
        <v>6.1050000000000007E-2</v>
      </c>
      <c r="K104" s="150">
        <f t="shared" si="7"/>
        <v>-2.9574594566934842E-5</v>
      </c>
      <c r="M104" s="137">
        <f t="shared" si="12"/>
        <v>1.0650529831302715</v>
      </c>
      <c r="N104" s="145">
        <f t="shared" si="8"/>
        <v>82.744518663519898</v>
      </c>
      <c r="O104" s="287">
        <f t="shared" si="13"/>
        <v>0</v>
      </c>
      <c r="P104" s="288">
        <f t="shared" si="14"/>
        <v>0.9995158022176277</v>
      </c>
      <c r="Q104" s="288">
        <f t="shared" si="15"/>
        <v>5.0515528644078911</v>
      </c>
      <c r="R104" s="88" t="s">
        <v>142</v>
      </c>
    </row>
    <row r="105" spans="2:18" ht="15" customHeight="1" x14ac:dyDescent="0.2">
      <c r="B105" s="106">
        <v>5</v>
      </c>
      <c r="C105" s="120"/>
      <c r="D105" s="120"/>
      <c r="E105" s="120">
        <f t="shared" si="9"/>
        <v>98.215555540646164</v>
      </c>
      <c r="F105" s="120">
        <f t="shared" si="10"/>
        <v>90.898555540646157</v>
      </c>
      <c r="G105" s="118">
        <v>7.3170000000000002</v>
      </c>
      <c r="H105" s="153">
        <f t="shared" si="11"/>
        <v>7.4499400423101866E-2</v>
      </c>
      <c r="J105" s="137">
        <f t="shared" si="6"/>
        <v>7.4499999999999997E-2</v>
      </c>
      <c r="K105" s="150">
        <f t="shared" si="7"/>
        <v>5.9957689813039394E-7</v>
      </c>
      <c r="M105" s="137">
        <f t="shared" si="12"/>
        <v>1.0804963286432878</v>
      </c>
      <c r="N105" s="144">
        <f t="shared" si="8"/>
        <v>98.215555540646164</v>
      </c>
      <c r="O105" s="287">
        <f t="shared" si="13"/>
        <v>0</v>
      </c>
      <c r="P105" s="288">
        <f t="shared" si="14"/>
        <v>1.0000080480768265</v>
      </c>
      <c r="Q105" s="290">
        <f t="shared" si="15"/>
        <v>7.3170588877781402</v>
      </c>
    </row>
    <row r="106" spans="2:18" ht="15" customHeight="1" x14ac:dyDescent="0.2">
      <c r="B106" s="106">
        <v>10</v>
      </c>
      <c r="C106" s="121"/>
      <c r="D106" s="121"/>
      <c r="E106" s="121">
        <f t="shared" si="9"/>
        <v>168.83851939984464</v>
      </c>
      <c r="F106" s="121">
        <f t="shared" si="10"/>
        <v>150.71151939984463</v>
      </c>
      <c r="G106" s="118">
        <v>18.126999999999999</v>
      </c>
      <c r="H106" s="154">
        <f t="shared" si="11"/>
        <v>0.10736294101863984</v>
      </c>
      <c r="J106" s="137">
        <f t="shared" si="6"/>
        <v>0.10754999999999999</v>
      </c>
      <c r="K106" s="150">
        <f t="shared" si="7"/>
        <v>1.8705898136014976E-4</v>
      </c>
      <c r="M106" s="137">
        <f t="shared" si="12"/>
        <v>1.1202761412809346</v>
      </c>
      <c r="N106" s="145">
        <f t="shared" si="8"/>
        <v>168.83851939984464</v>
      </c>
      <c r="O106" s="287">
        <f t="shared" si="13"/>
        <v>0</v>
      </c>
      <c r="P106" s="288">
        <f t="shared" si="14"/>
        <v>1.0017423049292928</v>
      </c>
      <c r="Q106" s="288">
        <f t="shared" si="15"/>
        <v>18.158582761453289</v>
      </c>
    </row>
    <row r="107" spans="2:18" ht="15" customHeight="1" x14ac:dyDescent="0.2">
      <c r="B107" s="106">
        <v>20</v>
      </c>
      <c r="C107" s="121"/>
      <c r="D107" s="121"/>
      <c r="E107" s="121">
        <f t="shared" si="9"/>
        <v>289.87014285714292</v>
      </c>
      <c r="F107" s="121">
        <f t="shared" si="10"/>
        <v>252.13714285714292</v>
      </c>
      <c r="G107" s="118">
        <v>37.732999999999997</v>
      </c>
      <c r="H107" s="154">
        <f t="shared" si="11"/>
        <v>0.13017208198153751</v>
      </c>
      <c r="J107" s="137">
        <f t="shared" si="6"/>
        <v>0.13</v>
      </c>
      <c r="K107" s="150">
        <f t="shared" si="7"/>
        <v>-1.7208198153750853E-4</v>
      </c>
      <c r="M107" s="137">
        <f t="shared" si="12"/>
        <v>1.1496526833469314</v>
      </c>
      <c r="N107" s="145">
        <f t="shared" si="8"/>
        <v>289.87014285714292</v>
      </c>
      <c r="O107" s="287">
        <f t="shared" si="13"/>
        <v>0</v>
      </c>
      <c r="P107" s="288">
        <f t="shared" si="14"/>
        <v>0.99867804233505375</v>
      </c>
      <c r="Q107" s="288">
        <f t="shared" si="15"/>
        <v>37.683118571428579</v>
      </c>
    </row>
    <row r="108" spans="2:18" ht="15" customHeight="1" x14ac:dyDescent="0.2">
      <c r="B108" s="106">
        <v>30</v>
      </c>
      <c r="C108" s="121"/>
      <c r="D108" s="121"/>
      <c r="E108" s="121">
        <f>F108+G108</f>
        <v>391.05328571428578</v>
      </c>
      <c r="F108" s="121">
        <f t="shared" si="10"/>
        <v>340.1942857142858</v>
      </c>
      <c r="G108" s="118">
        <v>50.859000000000002</v>
      </c>
      <c r="H108" s="154">
        <f t="shared" si="11"/>
        <v>0.13005644462775076</v>
      </c>
      <c r="J108" s="137">
        <f t="shared" si="6"/>
        <v>0.13</v>
      </c>
      <c r="K108" s="150">
        <f t="shared" si="7"/>
        <v>-5.6444627750756871E-5</v>
      </c>
      <c r="M108" s="137">
        <f t="shared" si="12"/>
        <v>1.1494998656230053</v>
      </c>
      <c r="N108" s="145">
        <f t="shared" si="8"/>
        <v>391.05328571428578</v>
      </c>
      <c r="O108" s="287">
        <f t="shared" si="13"/>
        <v>0</v>
      </c>
      <c r="P108" s="288">
        <f t="shared" si="14"/>
        <v>0.99956599899441878</v>
      </c>
      <c r="Q108" s="288">
        <f t="shared" si="15"/>
        <v>50.836927142857149</v>
      </c>
    </row>
    <row r="109" spans="2:18" ht="15" customHeight="1" x14ac:dyDescent="0.2">
      <c r="B109" s="106">
        <v>40</v>
      </c>
      <c r="C109" s="121"/>
      <c r="D109" s="121"/>
      <c r="E109" s="121">
        <f t="shared" si="9"/>
        <v>483.10414285714279</v>
      </c>
      <c r="F109" s="121">
        <f t="shared" si="10"/>
        <v>420.33714285714279</v>
      </c>
      <c r="G109" s="118">
        <v>62.767000000000003</v>
      </c>
      <c r="H109" s="154">
        <f t="shared" si="11"/>
        <v>0.12992436709150854</v>
      </c>
      <c r="J109" s="137">
        <f t="shared" si="6"/>
        <v>0.13</v>
      </c>
      <c r="K109" s="150">
        <f t="shared" si="7"/>
        <v>7.5632908491468642E-5</v>
      </c>
      <c r="M109" s="137">
        <f t="shared" si="12"/>
        <v>1.1493253714705203</v>
      </c>
      <c r="N109" s="145">
        <f t="shared" si="8"/>
        <v>483.10414285714279</v>
      </c>
      <c r="O109" s="287">
        <f t="shared" si="13"/>
        <v>0</v>
      </c>
      <c r="P109" s="288">
        <f t="shared" si="14"/>
        <v>1.000582130282291</v>
      </c>
      <c r="Q109" s="288">
        <f t="shared" si="15"/>
        <v>62.803538571428568</v>
      </c>
    </row>
    <row r="110" spans="2:18" ht="15" customHeight="1" thickBot="1" x14ac:dyDescent="0.25">
      <c r="B110" s="106">
        <v>50</v>
      </c>
      <c r="C110" s="120"/>
      <c r="D110" s="120"/>
      <c r="E110" s="120">
        <f t="shared" si="9"/>
        <v>572.43171428571418</v>
      </c>
      <c r="F110" s="120">
        <f t="shared" si="10"/>
        <v>498.01571428571424</v>
      </c>
      <c r="G110" s="118">
        <v>74.415999999999997</v>
      </c>
      <c r="H110" s="153">
        <f t="shared" si="11"/>
        <v>0.12999978537677109</v>
      </c>
      <c r="J110" s="138">
        <f t="shared" si="6"/>
        <v>0.13</v>
      </c>
      <c r="K110" s="151">
        <f t="shared" si="7"/>
        <v>2.146232289113037E-7</v>
      </c>
      <c r="M110" s="138">
        <f t="shared" si="12"/>
        <v>1.1494250038007978</v>
      </c>
      <c r="N110" s="146">
        <f t="shared" si="8"/>
        <v>572.43171428571418</v>
      </c>
      <c r="O110" s="287">
        <f t="shared" si="13"/>
        <v>0</v>
      </c>
      <c r="P110" s="288">
        <f t="shared" si="14"/>
        <v>1.0000016509506404</v>
      </c>
      <c r="Q110" s="290">
        <f t="shared" si="15"/>
        <v>74.416122857142852</v>
      </c>
    </row>
    <row r="111" spans="2:18" ht="15" customHeight="1" x14ac:dyDescent="0.2">
      <c r="K111" s="38"/>
    </row>
    <row r="112" spans="2:18" ht="15" customHeight="1" x14ac:dyDescent="0.2">
      <c r="K112" s="38"/>
    </row>
    <row r="113" spans="1:18" ht="15" customHeight="1" x14ac:dyDescent="0.2">
      <c r="A113" s="90" t="s">
        <v>80</v>
      </c>
      <c r="B113" s="64" t="s">
        <v>81</v>
      </c>
      <c r="I113" s="38"/>
    </row>
    <row r="114" spans="1:18" ht="15" customHeight="1" x14ac:dyDescent="0.2">
      <c r="A114" s="90"/>
      <c r="B114" s="28" t="s">
        <v>190</v>
      </c>
      <c r="I114" s="38"/>
    </row>
    <row r="115" spans="1:18" ht="15" customHeight="1" x14ac:dyDescent="0.2">
      <c r="A115" s="90"/>
      <c r="B115" s="28" t="s">
        <v>189</v>
      </c>
      <c r="I115" s="38"/>
    </row>
    <row r="116" spans="1:18" ht="15" customHeight="1" x14ac:dyDescent="0.2">
      <c r="A116" s="90"/>
      <c r="B116" s="28" t="s">
        <v>188</v>
      </c>
      <c r="I116" s="38"/>
    </row>
    <row r="117" spans="1:18" ht="15" customHeight="1" x14ac:dyDescent="0.2">
      <c r="A117" s="90"/>
      <c r="B117" s="28" t="s">
        <v>187</v>
      </c>
      <c r="I117" s="38"/>
    </row>
    <row r="118" spans="1:18" ht="15" customHeight="1" x14ac:dyDescent="0.2">
      <c r="A118" s="90"/>
      <c r="B118" s="28" t="s">
        <v>191</v>
      </c>
      <c r="I118" s="38"/>
    </row>
    <row r="119" spans="1:18" ht="15" customHeight="1" x14ac:dyDescent="0.2">
      <c r="A119" s="90"/>
      <c r="B119" s="28" t="s">
        <v>192</v>
      </c>
      <c r="I119" s="38"/>
    </row>
    <row r="120" spans="1:18" ht="15" customHeight="1" x14ac:dyDescent="0.2">
      <c r="B120" s="28" t="s">
        <v>193</v>
      </c>
      <c r="I120" s="38"/>
    </row>
    <row r="121" spans="1:18" ht="15" customHeight="1" x14ac:dyDescent="0.2">
      <c r="B121" s="28" t="s">
        <v>164</v>
      </c>
      <c r="I121" s="38"/>
    </row>
    <row r="122" spans="1:18" ht="15" customHeight="1" x14ac:dyDescent="0.2">
      <c r="I122" s="38"/>
      <c r="P122" s="308" t="s">
        <v>154</v>
      </c>
    </row>
    <row r="123" spans="1:18" ht="15" customHeight="1" x14ac:dyDescent="0.2">
      <c r="I123" s="38"/>
      <c r="M123" s="307" t="s">
        <v>152</v>
      </c>
    </row>
    <row r="124" spans="1:18" ht="15" customHeight="1" x14ac:dyDescent="0.2">
      <c r="D124" s="214" t="s">
        <v>163</v>
      </c>
      <c r="I124" s="38"/>
    </row>
    <row r="125" spans="1:18" ht="15" customHeight="1" x14ac:dyDescent="0.2">
      <c r="F125" s="38"/>
      <c r="G125" s="38"/>
      <c r="H125" s="38"/>
      <c r="I125" s="38"/>
      <c r="J125" s="359" t="s">
        <v>269</v>
      </c>
      <c r="K125" s="214"/>
      <c r="L125" s="214"/>
      <c r="M125" s="117" t="s">
        <v>194</v>
      </c>
      <c r="O125" s="38"/>
      <c r="P125" s="38"/>
      <c r="Q125" s="38"/>
    </row>
    <row r="126" spans="1:18" ht="15" customHeight="1" x14ac:dyDescent="0.2">
      <c r="B126" s="116"/>
      <c r="C126" s="91" t="s">
        <v>56</v>
      </c>
      <c r="D126" s="91" t="s">
        <v>56</v>
      </c>
      <c r="E126" s="205" t="s">
        <v>56</v>
      </c>
      <c r="F126" s="199" t="s">
        <v>56</v>
      </c>
      <c r="G126" s="199" t="s">
        <v>56</v>
      </c>
      <c r="H126" s="207"/>
      <c r="I126" s="117" t="s">
        <v>34</v>
      </c>
      <c r="J126" s="309" t="s">
        <v>103</v>
      </c>
      <c r="K126" s="309" t="s">
        <v>104</v>
      </c>
      <c r="L126" s="117" t="s">
        <v>22</v>
      </c>
      <c r="M126" s="117" t="s">
        <v>22</v>
      </c>
      <c r="O126" s="91" t="s">
        <v>34</v>
      </c>
      <c r="P126" s="91" t="s">
        <v>34</v>
      </c>
      <c r="Q126" s="91" t="s">
        <v>34</v>
      </c>
    </row>
    <row r="127" spans="1:18" ht="15" customHeight="1" x14ac:dyDescent="0.2">
      <c r="B127" s="116"/>
      <c r="C127" s="95" t="s">
        <v>40</v>
      </c>
      <c r="D127" s="84" t="s">
        <v>41</v>
      </c>
      <c r="E127" s="117" t="s">
        <v>32</v>
      </c>
      <c r="F127" s="104" t="s">
        <v>33</v>
      </c>
      <c r="G127" s="104" t="s">
        <v>35</v>
      </c>
      <c r="H127" s="253" t="s">
        <v>28</v>
      </c>
      <c r="I127" s="309" t="s">
        <v>155</v>
      </c>
      <c r="J127" s="309" t="s">
        <v>155</v>
      </c>
      <c r="K127" s="309" t="s">
        <v>162</v>
      </c>
      <c r="L127" s="117" t="s">
        <v>38</v>
      </c>
      <c r="M127" s="117" t="s">
        <v>155</v>
      </c>
      <c r="O127" s="95" t="s">
        <v>155</v>
      </c>
      <c r="P127" s="95" t="s">
        <v>156</v>
      </c>
      <c r="Q127" s="95" t="s">
        <v>41</v>
      </c>
    </row>
    <row r="128" spans="1:18" ht="15" customHeight="1" x14ac:dyDescent="0.2">
      <c r="B128" s="116" t="s">
        <v>21</v>
      </c>
      <c r="C128" s="113" t="s">
        <v>158</v>
      </c>
      <c r="D128" s="113" t="s">
        <v>158</v>
      </c>
      <c r="E128" s="113" t="s">
        <v>158</v>
      </c>
      <c r="F128" s="252" t="s">
        <v>53</v>
      </c>
      <c r="G128" s="252" t="s">
        <v>53</v>
      </c>
      <c r="H128" s="312" t="s">
        <v>158</v>
      </c>
      <c r="I128" s="113" t="s">
        <v>157</v>
      </c>
      <c r="J128" s="113" t="s">
        <v>161</v>
      </c>
      <c r="K128" s="113" t="s">
        <v>158</v>
      </c>
      <c r="L128" s="113" t="s">
        <v>161</v>
      </c>
      <c r="M128" s="113" t="s">
        <v>161</v>
      </c>
      <c r="O128" s="113" t="s">
        <v>157</v>
      </c>
      <c r="P128" s="113" t="s">
        <v>157</v>
      </c>
      <c r="Q128" s="113" t="s">
        <v>157</v>
      </c>
      <c r="R128" s="266" t="s">
        <v>129</v>
      </c>
    </row>
    <row r="129" spans="1:23" ht="15" customHeight="1" x14ac:dyDescent="0.2">
      <c r="B129" s="106">
        <v>1</v>
      </c>
      <c r="C129" s="119">
        <f>(D129-J129)</f>
        <v>43.62272832324318</v>
      </c>
      <c r="D129" s="119">
        <f>(F129+G129+J129+K129+L129)</f>
        <v>116.62272832324318</v>
      </c>
      <c r="E129" s="119">
        <f>F129+G129</f>
        <v>22.822728323243179</v>
      </c>
      <c r="F129" s="119">
        <f t="shared" ref="F129:G138" si="16">F101</f>
        <v>22.508728323243179</v>
      </c>
      <c r="G129" s="175">
        <f t="shared" si="16"/>
        <v>0.314</v>
      </c>
      <c r="H129" s="155">
        <f>G129/E129</f>
        <v>1.3758214861639279E-2</v>
      </c>
      <c r="I129" s="119">
        <f>O129</f>
        <v>80.8</v>
      </c>
      <c r="J129" s="241">
        <v>73</v>
      </c>
      <c r="K129" s="316">
        <f>I129-J129</f>
        <v>7.7999999999999972</v>
      </c>
      <c r="L129" s="241">
        <v>13</v>
      </c>
      <c r="M129" s="241">
        <v>77</v>
      </c>
      <c r="O129" s="310">
        <v>80.8</v>
      </c>
      <c r="P129" s="241">
        <v>12</v>
      </c>
      <c r="Q129" s="244">
        <v>115</v>
      </c>
      <c r="R129" s="184">
        <f t="shared" ref="R129:R138" si="17">Q129-D129</f>
        <v>-1.6227283232431802</v>
      </c>
    </row>
    <row r="130" spans="1:23" ht="15" customHeight="1" x14ac:dyDescent="0.2">
      <c r="B130" s="106">
        <v>2</v>
      </c>
      <c r="C130" s="120">
        <f t="shared" ref="C130:C138" si="18">(D130-J130)</f>
        <v>66.08944469615048</v>
      </c>
      <c r="D130" s="120">
        <f t="shared" ref="D130:D138" si="19">(F130+G130+J130+K130+L130)</f>
        <v>139.08944469615048</v>
      </c>
      <c r="E130" s="120">
        <f t="shared" ref="E130:E135" si="20">F130+G130</f>
        <v>45.589444696150473</v>
      </c>
      <c r="F130" s="120">
        <f t="shared" si="16"/>
        <v>44.221444696150471</v>
      </c>
      <c r="G130" s="176">
        <f t="shared" si="16"/>
        <v>1.3680000000000001</v>
      </c>
      <c r="H130" s="156">
        <f t="shared" ref="H130:H138" si="21">G130/E130</f>
        <v>3.0006945886654167E-2</v>
      </c>
      <c r="I130" s="120">
        <f t="shared" ref="I130:I138" si="22">O130</f>
        <v>80.5</v>
      </c>
      <c r="J130" s="242">
        <v>73</v>
      </c>
      <c r="K130" s="317">
        <f t="shared" ref="K130:K138" si="23">I130-J130</f>
        <v>7.5</v>
      </c>
      <c r="L130" s="242">
        <v>13</v>
      </c>
      <c r="M130" s="242">
        <v>77</v>
      </c>
      <c r="O130" s="242">
        <v>80.5</v>
      </c>
      <c r="P130" s="242">
        <v>11.3</v>
      </c>
      <c r="Q130" s="245">
        <v>137</v>
      </c>
      <c r="R130" s="184">
        <f t="shared" si="17"/>
        <v>-2.0894446961504798</v>
      </c>
    </row>
    <row r="131" spans="1:23" ht="15" customHeight="1" x14ac:dyDescent="0.2">
      <c r="B131" s="106">
        <v>3</v>
      </c>
      <c r="C131" s="121">
        <f t="shared" si="18"/>
        <v>85.347428262465371</v>
      </c>
      <c r="D131" s="121">
        <f t="shared" si="19"/>
        <v>158.34742826246537</v>
      </c>
      <c r="E131" s="121">
        <f t="shared" si="20"/>
        <v>65.347428262465357</v>
      </c>
      <c r="F131" s="121">
        <f t="shared" si="16"/>
        <v>62.373428262465353</v>
      </c>
      <c r="G131" s="177">
        <f t="shared" si="16"/>
        <v>2.9740000000000002</v>
      </c>
      <c r="H131" s="157">
        <f t="shared" si="21"/>
        <v>4.5510589767282762E-2</v>
      </c>
      <c r="I131" s="121">
        <f t="shared" si="22"/>
        <v>80</v>
      </c>
      <c r="J131" s="243">
        <v>73</v>
      </c>
      <c r="K131" s="318">
        <f t="shared" si="23"/>
        <v>7</v>
      </c>
      <c r="L131" s="243">
        <v>13</v>
      </c>
      <c r="M131" s="243">
        <v>77</v>
      </c>
      <c r="O131" s="243">
        <v>80</v>
      </c>
      <c r="P131" s="243">
        <v>12.5</v>
      </c>
      <c r="Q131" s="246">
        <v>156</v>
      </c>
      <c r="R131" s="184">
        <f t="shared" si="17"/>
        <v>-2.3474282624653711</v>
      </c>
    </row>
    <row r="132" spans="1:23" ht="15" customHeight="1" x14ac:dyDescent="0.2">
      <c r="B132" s="106">
        <v>4</v>
      </c>
      <c r="C132" s="121">
        <f t="shared" si="18"/>
        <v>102.44451866351989</v>
      </c>
      <c r="D132" s="121">
        <f t="shared" si="19"/>
        <v>175.44451866351989</v>
      </c>
      <c r="E132" s="121">
        <f t="shared" si="20"/>
        <v>82.744518663519898</v>
      </c>
      <c r="F132" s="121">
        <f t="shared" si="16"/>
        <v>77.690518663519896</v>
      </c>
      <c r="G132" s="177">
        <f t="shared" si="16"/>
        <v>5.0540000000000003</v>
      </c>
      <c r="H132" s="157">
        <f t="shared" si="21"/>
        <v>6.1079574594566942E-2</v>
      </c>
      <c r="I132" s="121">
        <f t="shared" si="22"/>
        <v>79.7</v>
      </c>
      <c r="J132" s="243">
        <v>73</v>
      </c>
      <c r="K132" s="318">
        <f t="shared" si="23"/>
        <v>6.7000000000000028</v>
      </c>
      <c r="L132" s="243">
        <v>13</v>
      </c>
      <c r="M132" s="243">
        <v>77</v>
      </c>
      <c r="O132" s="243">
        <v>79.7</v>
      </c>
      <c r="P132" s="243">
        <v>14.4</v>
      </c>
      <c r="Q132" s="246">
        <v>172</v>
      </c>
      <c r="R132" s="184">
        <f t="shared" si="17"/>
        <v>-3.4445186635198866</v>
      </c>
    </row>
    <row r="133" spans="1:23" ht="15" customHeight="1" x14ac:dyDescent="0.2">
      <c r="B133" s="106">
        <v>5</v>
      </c>
      <c r="C133" s="120">
        <f t="shared" si="18"/>
        <v>117.81555554064616</v>
      </c>
      <c r="D133" s="120">
        <f t="shared" si="19"/>
        <v>190.81555554064616</v>
      </c>
      <c r="E133" s="120">
        <f t="shared" si="20"/>
        <v>98.215555540646164</v>
      </c>
      <c r="F133" s="120">
        <f t="shared" si="16"/>
        <v>90.898555540646157</v>
      </c>
      <c r="G133" s="176">
        <f t="shared" si="16"/>
        <v>7.3170000000000002</v>
      </c>
      <c r="H133" s="156">
        <f t="shared" si="21"/>
        <v>7.4499400423101866E-2</v>
      </c>
      <c r="I133" s="120">
        <f t="shared" si="22"/>
        <v>79.599999999999994</v>
      </c>
      <c r="J133" s="242">
        <v>73</v>
      </c>
      <c r="K133" s="317">
        <f t="shared" si="23"/>
        <v>6.5999999999999943</v>
      </c>
      <c r="L133" s="242">
        <v>13</v>
      </c>
      <c r="M133" s="242">
        <v>77</v>
      </c>
      <c r="O133" s="242">
        <v>79.599999999999994</v>
      </c>
      <c r="P133" s="242">
        <v>12.3</v>
      </c>
      <c r="Q133" s="245">
        <v>187</v>
      </c>
      <c r="R133" s="184">
        <f t="shared" si="17"/>
        <v>-3.8155555406461588</v>
      </c>
    </row>
    <row r="134" spans="1:23" ht="15" customHeight="1" x14ac:dyDescent="0.2">
      <c r="B134" s="106">
        <v>10</v>
      </c>
      <c r="C134" s="121">
        <f t="shared" si="18"/>
        <v>188.53851939984463</v>
      </c>
      <c r="D134" s="121">
        <f t="shared" si="19"/>
        <v>261.53851939984463</v>
      </c>
      <c r="E134" s="121">
        <f t="shared" si="20"/>
        <v>168.83851939984464</v>
      </c>
      <c r="F134" s="121">
        <f t="shared" si="16"/>
        <v>150.71151939984463</v>
      </c>
      <c r="G134" s="177">
        <f t="shared" si="16"/>
        <v>18.126999999999999</v>
      </c>
      <c r="H134" s="157">
        <f t="shared" si="21"/>
        <v>0.10736294101863984</v>
      </c>
      <c r="I134" s="121">
        <f t="shared" si="22"/>
        <v>79.7</v>
      </c>
      <c r="J134" s="243">
        <v>73</v>
      </c>
      <c r="K134" s="318">
        <f t="shared" si="23"/>
        <v>6.7000000000000028</v>
      </c>
      <c r="L134" s="243">
        <v>13</v>
      </c>
      <c r="M134" s="243">
        <v>77</v>
      </c>
      <c r="O134" s="243">
        <v>79.7</v>
      </c>
      <c r="P134" s="243">
        <v>11.6</v>
      </c>
      <c r="Q134" s="246">
        <v>257</v>
      </c>
      <c r="R134" s="184">
        <f t="shared" si="17"/>
        <v>-4.5385193998446312</v>
      </c>
    </row>
    <row r="135" spans="1:23" ht="15" customHeight="1" x14ac:dyDescent="0.2">
      <c r="B135" s="106">
        <v>20</v>
      </c>
      <c r="C135" s="121">
        <f t="shared" si="18"/>
        <v>309.47014285714295</v>
      </c>
      <c r="D135" s="121">
        <f t="shared" si="19"/>
        <v>382.47014285714295</v>
      </c>
      <c r="E135" s="121">
        <f t="shared" si="20"/>
        <v>289.87014285714292</v>
      </c>
      <c r="F135" s="121">
        <f t="shared" si="16"/>
        <v>252.13714285714292</v>
      </c>
      <c r="G135" s="177">
        <f t="shared" si="16"/>
        <v>37.732999999999997</v>
      </c>
      <c r="H135" s="157">
        <f t="shared" si="21"/>
        <v>0.13017208198153751</v>
      </c>
      <c r="I135" s="121">
        <f t="shared" si="22"/>
        <v>79.599999999999994</v>
      </c>
      <c r="J135" s="243">
        <v>73</v>
      </c>
      <c r="K135" s="318">
        <f t="shared" si="23"/>
        <v>6.5999999999999943</v>
      </c>
      <c r="L135" s="243">
        <v>13</v>
      </c>
      <c r="M135" s="243">
        <v>77</v>
      </c>
      <c r="O135" s="243">
        <v>79.599999999999994</v>
      </c>
      <c r="P135" s="243">
        <v>11.3</v>
      </c>
      <c r="Q135" s="246">
        <v>385</v>
      </c>
      <c r="R135" s="184">
        <f t="shared" si="17"/>
        <v>2.529857142857054</v>
      </c>
    </row>
    <row r="136" spans="1:23" ht="15" customHeight="1" x14ac:dyDescent="0.2">
      <c r="B136" s="106">
        <v>30</v>
      </c>
      <c r="C136" s="121">
        <f t="shared" si="18"/>
        <v>411.05328571428578</v>
      </c>
      <c r="D136" s="121">
        <f t="shared" si="19"/>
        <v>484.05328571428578</v>
      </c>
      <c r="E136" s="121">
        <f>F136+G136</f>
        <v>391.05328571428578</v>
      </c>
      <c r="F136" s="121">
        <f t="shared" si="16"/>
        <v>340.1942857142858</v>
      </c>
      <c r="G136" s="177">
        <f t="shared" si="16"/>
        <v>50.859000000000002</v>
      </c>
      <c r="H136" s="157">
        <f t="shared" si="21"/>
        <v>0.13005644462775076</v>
      </c>
      <c r="I136" s="121">
        <f t="shared" si="22"/>
        <v>80</v>
      </c>
      <c r="J136" s="243">
        <v>73</v>
      </c>
      <c r="K136" s="318">
        <f t="shared" si="23"/>
        <v>7</v>
      </c>
      <c r="L136" s="243">
        <v>13</v>
      </c>
      <c r="M136" s="243">
        <v>77</v>
      </c>
      <c r="O136" s="243">
        <v>80</v>
      </c>
      <c r="P136" s="243">
        <v>13.5</v>
      </c>
      <c r="Q136" s="246">
        <v>491</v>
      </c>
      <c r="R136" s="184">
        <f t="shared" si="17"/>
        <v>6.9467142857142221</v>
      </c>
    </row>
    <row r="137" spans="1:23" ht="15" customHeight="1" x14ac:dyDescent="0.2">
      <c r="B137" s="106">
        <v>40</v>
      </c>
      <c r="C137" s="121">
        <f t="shared" si="18"/>
        <v>504.20414285714276</v>
      </c>
      <c r="D137" s="121">
        <f t="shared" si="19"/>
        <v>577.20414285714276</v>
      </c>
      <c r="E137" s="121">
        <f t="shared" ref="E137:E138" si="24">F137+G137</f>
        <v>483.10414285714279</v>
      </c>
      <c r="F137" s="121">
        <f t="shared" si="16"/>
        <v>420.33714285714279</v>
      </c>
      <c r="G137" s="177">
        <f t="shared" si="16"/>
        <v>62.767000000000003</v>
      </c>
      <c r="H137" s="157">
        <f t="shared" si="21"/>
        <v>0.12992436709150854</v>
      </c>
      <c r="I137" s="121">
        <f t="shared" si="22"/>
        <v>81.099999999999994</v>
      </c>
      <c r="J137" s="243">
        <v>73</v>
      </c>
      <c r="K137" s="318">
        <f t="shared" si="23"/>
        <v>8.0999999999999943</v>
      </c>
      <c r="L137" s="243">
        <v>13</v>
      </c>
      <c r="M137" s="243">
        <v>78</v>
      </c>
      <c r="O137" s="243">
        <v>81.099999999999994</v>
      </c>
      <c r="P137" s="243">
        <v>15</v>
      </c>
      <c r="Q137" s="246">
        <v>586</v>
      </c>
      <c r="R137" s="184">
        <f t="shared" si="17"/>
        <v>8.7958571428572441</v>
      </c>
    </row>
    <row r="138" spans="1:23" ht="15" customHeight="1" x14ac:dyDescent="0.2">
      <c r="B138" s="106">
        <v>50</v>
      </c>
      <c r="C138" s="120">
        <f t="shared" si="18"/>
        <v>595.13171428571422</v>
      </c>
      <c r="D138" s="120">
        <f t="shared" si="19"/>
        <v>668.13171428571422</v>
      </c>
      <c r="E138" s="120">
        <f t="shared" si="24"/>
        <v>572.43171428571418</v>
      </c>
      <c r="F138" s="120">
        <f t="shared" si="16"/>
        <v>498.01571428571424</v>
      </c>
      <c r="G138" s="176">
        <f t="shared" si="16"/>
        <v>74.415999999999997</v>
      </c>
      <c r="H138" s="156">
        <f t="shared" si="21"/>
        <v>0.12999978537677109</v>
      </c>
      <c r="I138" s="120">
        <f t="shared" si="22"/>
        <v>82.7</v>
      </c>
      <c r="J138" s="242">
        <v>73</v>
      </c>
      <c r="K138" s="317">
        <f t="shared" si="23"/>
        <v>9.7000000000000028</v>
      </c>
      <c r="L138" s="242">
        <v>13</v>
      </c>
      <c r="M138" s="242">
        <v>79</v>
      </c>
      <c r="O138" s="242">
        <v>82.7</v>
      </c>
      <c r="P138" s="242">
        <v>14.9</v>
      </c>
      <c r="Q138" s="245">
        <v>677</v>
      </c>
      <c r="R138" s="184">
        <f t="shared" si="17"/>
        <v>8.8682857142857756</v>
      </c>
    </row>
    <row r="139" spans="1:23" ht="15" customHeight="1" x14ac:dyDescent="0.2">
      <c r="I139" s="38"/>
    </row>
    <row r="140" spans="1:23" ht="15" customHeight="1" x14ac:dyDescent="0.2">
      <c r="I140" s="38"/>
    </row>
    <row r="141" spans="1:23" x14ac:dyDescent="0.2">
      <c r="A141" s="90" t="s">
        <v>82</v>
      </c>
      <c r="B141" s="64" t="s">
        <v>83</v>
      </c>
      <c r="I141" s="38"/>
    </row>
    <row r="142" spans="1:23" ht="15" customHeight="1" x14ac:dyDescent="0.2">
      <c r="Q142" s="27" t="s">
        <v>170</v>
      </c>
    </row>
    <row r="143" spans="1:23" ht="15" customHeight="1" x14ac:dyDescent="0.2">
      <c r="B143" s="90" t="s">
        <v>91</v>
      </c>
      <c r="C143" s="40"/>
      <c r="I143" s="38"/>
      <c r="W143" t="s">
        <v>177</v>
      </c>
    </row>
    <row r="144" spans="1:23" ht="15" customHeight="1" x14ac:dyDescent="0.2">
      <c r="B144" s="64" t="s">
        <v>92</v>
      </c>
      <c r="C144" s="40"/>
      <c r="D144" s="40"/>
      <c r="E144" s="40"/>
      <c r="F144" s="40"/>
      <c r="G144" s="40"/>
      <c r="H144" s="40"/>
      <c r="I144" s="40"/>
      <c r="J144" s="40"/>
      <c r="K144" s="40"/>
      <c r="L144" s="40"/>
      <c r="Q144" s="28" t="s">
        <v>168</v>
      </c>
    </row>
    <row r="145" spans="2:30" ht="15" customHeight="1" x14ac:dyDescent="0.2">
      <c r="B145" s="90" t="s">
        <v>93</v>
      </c>
      <c r="C145" s="40"/>
      <c r="D145" s="40"/>
      <c r="E145" s="40"/>
      <c r="F145" s="306" t="s">
        <v>153</v>
      </c>
      <c r="G145" s="40"/>
      <c r="H145" s="40"/>
      <c r="I145" s="28" t="s">
        <v>24</v>
      </c>
      <c r="J145" s="40"/>
      <c r="K145" s="40"/>
      <c r="Q145" s="28" t="s">
        <v>169</v>
      </c>
    </row>
    <row r="146" spans="2:30" ht="15" customHeight="1" x14ac:dyDescent="0.2">
      <c r="D146" s="56"/>
      <c r="H146" s="31" t="s">
        <v>11</v>
      </c>
      <c r="I146" s="32"/>
      <c r="J146" s="32"/>
      <c r="K146" s="33"/>
      <c r="L146" s="31" t="s">
        <v>16</v>
      </c>
      <c r="M146" s="32"/>
      <c r="N146" s="33"/>
      <c r="O146" s="84"/>
      <c r="P146" s="91" t="s">
        <v>56</v>
      </c>
      <c r="Q146" t="s">
        <v>117</v>
      </c>
    </row>
    <row r="147" spans="2:30" ht="15" customHeight="1" x14ac:dyDescent="0.2">
      <c r="C147" s="41"/>
      <c r="D147" s="57"/>
      <c r="F147" s="304" t="s">
        <v>84</v>
      </c>
      <c r="G147" s="301" t="s">
        <v>119</v>
      </c>
      <c r="H147" s="18" t="s">
        <v>12</v>
      </c>
      <c r="I147" s="159" t="s">
        <v>27</v>
      </c>
      <c r="J147" s="9"/>
      <c r="K147" s="10"/>
      <c r="L147" s="18" t="s">
        <v>17</v>
      </c>
      <c r="M147" s="159" t="s">
        <v>40</v>
      </c>
      <c r="N147" s="25"/>
      <c r="O147" s="84"/>
      <c r="P147" s="95" t="s">
        <v>40</v>
      </c>
      <c r="Q147" s="254" t="e">
        <f>P147/M147</f>
        <v>#DIV/0!</v>
      </c>
      <c r="R147" s="254" t="e">
        <f>G147*Q147</f>
        <v>#DIV/0!</v>
      </c>
      <c r="S147" s="267" t="s">
        <v>130</v>
      </c>
      <c r="W147" t="s">
        <v>174</v>
      </c>
      <c r="Y147" t="s">
        <v>175</v>
      </c>
      <c r="AA147" t="s">
        <v>176</v>
      </c>
    </row>
    <row r="148" spans="2:30" ht="15" customHeight="1" x14ac:dyDescent="0.2">
      <c r="B148" s="256" t="s">
        <v>5</v>
      </c>
      <c r="C148" s="257"/>
      <c r="D148" s="258"/>
      <c r="E148" s="303" t="s">
        <v>21</v>
      </c>
      <c r="F148" s="305" t="s">
        <v>23</v>
      </c>
      <c r="G148" s="302" t="s">
        <v>120</v>
      </c>
      <c r="H148" s="20" t="s">
        <v>13</v>
      </c>
      <c r="I148" s="21" t="s">
        <v>14</v>
      </c>
      <c r="J148" s="1"/>
      <c r="K148" s="22"/>
      <c r="L148" s="20" t="s">
        <v>18</v>
      </c>
      <c r="M148" s="21" t="s">
        <v>19</v>
      </c>
      <c r="N148" s="13"/>
      <c r="O148" s="84" t="s">
        <v>21</v>
      </c>
      <c r="P148" s="113" t="s">
        <v>54</v>
      </c>
      <c r="Q148" s="265" t="s">
        <v>115</v>
      </c>
      <c r="R148" s="265" t="s">
        <v>116</v>
      </c>
      <c r="W148" t="s">
        <v>171</v>
      </c>
      <c r="Y148" t="s">
        <v>172</v>
      </c>
      <c r="AA148" t="s">
        <v>173</v>
      </c>
    </row>
    <row r="149" spans="2:30" ht="15" customHeight="1" x14ac:dyDescent="0.2">
      <c r="B149" s="259" t="s">
        <v>6</v>
      </c>
      <c r="C149" s="12" t="s">
        <v>9</v>
      </c>
      <c r="D149" s="260">
        <v>2.46</v>
      </c>
      <c r="E149" s="255">
        <v>1</v>
      </c>
      <c r="F149" s="249">
        <v>1.1297647051527779</v>
      </c>
      <c r="G149" s="122">
        <v>1.0520690888441584</v>
      </c>
      <c r="H149" s="34">
        <f>(D150*2.20462*25.4*12)</f>
        <v>3359.8408799999997</v>
      </c>
      <c r="I149" s="5">
        <f>F149*D$149*SQRT(4*D$151*H$149/32.2)/12</f>
        <v>43.622720000000008</v>
      </c>
      <c r="J149" s="1"/>
      <c r="K149" s="22"/>
      <c r="L149" s="96">
        <v>1</v>
      </c>
      <c r="M149" s="92">
        <f>L149*I149</f>
        <v>43.622720000000008</v>
      </c>
      <c r="N149" s="13"/>
      <c r="O149" s="84">
        <v>1</v>
      </c>
      <c r="P149" s="92">
        <f>C129</f>
        <v>43.62272832324318</v>
      </c>
      <c r="Q149" s="254">
        <v>1.0738502985521405</v>
      </c>
      <c r="R149" s="254">
        <v>1.1297647051527779</v>
      </c>
      <c r="S149" s="267" t="s">
        <v>138</v>
      </c>
      <c r="W149" s="30">
        <v>1</v>
      </c>
      <c r="X149" s="249">
        <v>1.2719377964304703</v>
      </c>
      <c r="Y149" s="255">
        <v>1</v>
      </c>
      <c r="Z149" s="249">
        <v>1.214204604920285</v>
      </c>
      <c r="AA149" s="255">
        <v>1</v>
      </c>
      <c r="AB149" s="249">
        <v>1.0520690888441584</v>
      </c>
    </row>
    <row r="150" spans="2:30" ht="15" customHeight="1" x14ac:dyDescent="0.2">
      <c r="B150" s="259" t="s">
        <v>7</v>
      </c>
      <c r="C150" s="12" t="s">
        <v>10</v>
      </c>
      <c r="D150" s="260">
        <v>5</v>
      </c>
      <c r="E150" s="255">
        <v>2</v>
      </c>
      <c r="F150" s="250">
        <v>0.85580944407781101</v>
      </c>
      <c r="G150" s="123">
        <v>0.81696163592350124</v>
      </c>
      <c r="H150" s="35"/>
      <c r="I150" s="5">
        <f t="shared" ref="I150:I158" si="25">F150*D$149*SQRT(4*D$151*H$149/32.2)/12</f>
        <v>33.044700000000013</v>
      </c>
      <c r="J150" s="1"/>
      <c r="K150" s="22"/>
      <c r="L150" s="97">
        <v>2</v>
      </c>
      <c r="M150" s="93">
        <f>L150*I150</f>
        <v>66.089400000000026</v>
      </c>
      <c r="N150" s="13"/>
      <c r="O150" s="84">
        <v>2</v>
      </c>
      <c r="P150" s="93">
        <f t="shared" ref="P150:P158" si="26">C130</f>
        <v>66.08944469615048</v>
      </c>
      <c r="Q150" s="254">
        <v>1.0475515696773152</v>
      </c>
      <c r="R150" s="254">
        <v>0.85580944407781101</v>
      </c>
      <c r="S150" s="267" t="s">
        <v>139</v>
      </c>
      <c r="W150" s="30">
        <v>2</v>
      </c>
      <c r="X150" s="250">
        <v>0.96145357598157333</v>
      </c>
      <c r="Y150" s="255">
        <v>2</v>
      </c>
      <c r="Z150" s="250">
        <v>0.94178558278660662</v>
      </c>
      <c r="AA150" s="255">
        <v>2</v>
      </c>
      <c r="AB150" s="250">
        <v>0.81696163592350124</v>
      </c>
    </row>
    <row r="151" spans="2:30" ht="15" customHeight="1" x14ac:dyDescent="0.2">
      <c r="B151" s="261" t="s">
        <v>8</v>
      </c>
      <c r="C151" s="262" t="s">
        <v>15</v>
      </c>
      <c r="D151" s="263">
        <v>85</v>
      </c>
      <c r="E151" s="255">
        <v>3</v>
      </c>
      <c r="F151" s="249">
        <v>0.7367901193085139</v>
      </c>
      <c r="G151" s="122">
        <v>0.71089158053897417</v>
      </c>
      <c r="H151" s="35"/>
      <c r="I151" s="5">
        <f t="shared" si="25"/>
        <v>28.449100000000005</v>
      </c>
      <c r="J151" s="1"/>
      <c r="K151" s="22"/>
      <c r="L151" s="98">
        <v>3</v>
      </c>
      <c r="M151" s="94">
        <f t="shared" ref="M151:M157" si="27">L151*I151</f>
        <v>85.347300000000018</v>
      </c>
      <c r="N151" s="13"/>
      <c r="O151" s="84">
        <v>3</v>
      </c>
      <c r="P151" s="94">
        <f t="shared" si="26"/>
        <v>85.347428262465371</v>
      </c>
      <c r="Q151" s="254">
        <v>1.0364310669566579</v>
      </c>
      <c r="R151" s="254">
        <v>0.7367901193085139</v>
      </c>
      <c r="W151" s="30">
        <v>3</v>
      </c>
      <c r="X151" s="249">
        <v>0.82946548223307215</v>
      </c>
      <c r="Y151" s="255">
        <v>3</v>
      </c>
      <c r="Z151" s="249">
        <v>0.83143438654578949</v>
      </c>
      <c r="AA151" s="255">
        <v>3</v>
      </c>
      <c r="AB151" s="249">
        <v>0.71089158053897417</v>
      </c>
    </row>
    <row r="152" spans="2:30" ht="15" customHeight="1" x14ac:dyDescent="0.2">
      <c r="E152" s="30">
        <v>4</v>
      </c>
      <c r="F152" s="249">
        <v>0.66328903033900899</v>
      </c>
      <c r="G152" s="122">
        <v>0.64386512626185421</v>
      </c>
      <c r="H152" s="35"/>
      <c r="I152" s="5">
        <f t="shared" si="25"/>
        <v>25.611059999999995</v>
      </c>
      <c r="J152" s="1"/>
      <c r="K152" s="22"/>
      <c r="L152" s="98">
        <v>4</v>
      </c>
      <c r="M152" s="94">
        <f t="shared" si="27"/>
        <v>102.44423999999998</v>
      </c>
      <c r="N152" s="13"/>
      <c r="O152" s="84">
        <v>4</v>
      </c>
      <c r="P152" s="94">
        <f t="shared" si="26"/>
        <v>102.44451866351989</v>
      </c>
      <c r="Q152" s="254">
        <v>1.0301676597860268</v>
      </c>
      <c r="R152" s="254">
        <v>0.66328903033900899</v>
      </c>
      <c r="W152" s="30">
        <v>4</v>
      </c>
      <c r="X152" s="249">
        <v>0.74932421258594284</v>
      </c>
      <c r="Y152" s="30">
        <v>4</v>
      </c>
      <c r="Z152" s="249">
        <v>0.76534004310976567</v>
      </c>
      <c r="AA152" s="30">
        <v>4</v>
      </c>
      <c r="AB152" s="249">
        <v>0.64386512626185421</v>
      </c>
    </row>
    <row r="153" spans="2:30" ht="15" customHeight="1" x14ac:dyDescent="0.2">
      <c r="B153" s="268" t="s">
        <v>132</v>
      </c>
      <c r="E153" s="30">
        <v>5</v>
      </c>
      <c r="F153" s="250">
        <v>0.61024747621497555</v>
      </c>
      <c r="G153" s="123">
        <v>0.59470835295325186</v>
      </c>
      <c r="H153" s="35"/>
      <c r="I153" s="5">
        <f t="shared" si="25"/>
        <v>23.563007999999996</v>
      </c>
      <c r="J153" s="1"/>
      <c r="K153" s="22"/>
      <c r="L153" s="97">
        <v>5</v>
      </c>
      <c r="M153" s="93">
        <f t="shared" si="27"/>
        <v>117.81503999999998</v>
      </c>
      <c r="N153" s="13"/>
      <c r="O153" s="84">
        <v>5</v>
      </c>
      <c r="P153" s="93">
        <f t="shared" si="26"/>
        <v>117.81555554064616</v>
      </c>
      <c r="Q153" s="254">
        <v>1.0261289810115466</v>
      </c>
      <c r="R153" s="254">
        <v>0.61024747621497555</v>
      </c>
      <c r="W153" s="30">
        <v>5</v>
      </c>
      <c r="X153" s="250">
        <v>0.69127712745711423</v>
      </c>
      <c r="Y153" s="30">
        <v>5</v>
      </c>
      <c r="Z153" s="250">
        <v>0.71786624837291457</v>
      </c>
      <c r="AA153" s="30">
        <v>5</v>
      </c>
      <c r="AB153" s="250">
        <v>0.59470835295325186</v>
      </c>
    </row>
    <row r="154" spans="2:30" ht="15" customHeight="1" x14ac:dyDescent="0.2">
      <c r="B154" s="42" t="s">
        <v>131</v>
      </c>
      <c r="E154" s="30">
        <v>10</v>
      </c>
      <c r="F154" s="249">
        <v>0.48746862891300663</v>
      </c>
      <c r="G154" s="122">
        <v>0.47969906728214473</v>
      </c>
      <c r="H154" s="35"/>
      <c r="I154" s="5">
        <f t="shared" si="25"/>
        <v>18.8222445</v>
      </c>
      <c r="J154" s="1"/>
      <c r="K154" s="22"/>
      <c r="L154" s="98">
        <v>10</v>
      </c>
      <c r="M154" s="94">
        <f t="shared" si="27"/>
        <v>188.22244499999999</v>
      </c>
      <c r="N154" s="13"/>
      <c r="O154" s="84">
        <v>10</v>
      </c>
      <c r="P154" s="94">
        <f t="shared" si="26"/>
        <v>188.53851939984463</v>
      </c>
      <c r="Q154" s="254">
        <v>1.0161967411670869</v>
      </c>
      <c r="R154" s="254">
        <v>0.48746862891300663</v>
      </c>
      <c r="W154" s="30">
        <v>10</v>
      </c>
      <c r="X154" s="249">
        <v>0.53698545571268352</v>
      </c>
      <c r="Y154" s="30">
        <v>10</v>
      </c>
      <c r="Z154" s="249">
        <v>0.57439876697917092</v>
      </c>
      <c r="AA154" s="30">
        <v>10</v>
      </c>
      <c r="AB154" s="249">
        <v>0.47969906728214473</v>
      </c>
    </row>
    <row r="155" spans="2:30" ht="15" customHeight="1" x14ac:dyDescent="0.2">
      <c r="E155" s="30">
        <v>20</v>
      </c>
      <c r="F155" s="249">
        <v>0.40117024318423189</v>
      </c>
      <c r="G155" s="122">
        <v>0.39728546236880097</v>
      </c>
      <c r="H155" s="35"/>
      <c r="I155" s="5">
        <f t="shared" si="25"/>
        <v>15.490072500000004</v>
      </c>
      <c r="J155" s="1"/>
      <c r="K155" s="22"/>
      <c r="L155" s="98">
        <v>20</v>
      </c>
      <c r="M155" s="94">
        <f t="shared" si="27"/>
        <v>309.80145000000005</v>
      </c>
      <c r="N155" s="13"/>
      <c r="O155" s="84">
        <v>20</v>
      </c>
      <c r="P155" s="94">
        <f t="shared" si="26"/>
        <v>309.47014285714295</v>
      </c>
      <c r="Q155" s="254">
        <v>1.009778311021672</v>
      </c>
      <c r="R155" s="254">
        <v>0.40117024318423189</v>
      </c>
      <c r="W155" s="30">
        <v>20</v>
      </c>
      <c r="X155" s="249">
        <v>0.43470787984188836</v>
      </c>
      <c r="Y155" s="30">
        <v>20</v>
      </c>
      <c r="Z155" s="249">
        <v>0.47089010691917027</v>
      </c>
      <c r="AA155" s="30">
        <v>20</v>
      </c>
      <c r="AB155" s="249">
        <v>0.39728546236880097</v>
      </c>
    </row>
    <row r="156" spans="2:30" ht="15" customHeight="1" x14ac:dyDescent="0.2">
      <c r="E156" s="30">
        <v>30</v>
      </c>
      <c r="F156" s="249">
        <v>0.35493658183304655</v>
      </c>
      <c r="G156" s="122">
        <v>0.35234672795609262</v>
      </c>
      <c r="H156" s="35"/>
      <c r="I156" s="5">
        <f t="shared" si="25"/>
        <v>13.704888333333331</v>
      </c>
      <c r="J156" s="1"/>
      <c r="K156" s="22"/>
      <c r="L156" s="98">
        <v>30</v>
      </c>
      <c r="M156" s="94">
        <f>L156*I156</f>
        <v>411.14664999999991</v>
      </c>
      <c r="N156" s="13"/>
      <c r="O156" s="84">
        <v>30</v>
      </c>
      <c r="P156" s="94">
        <f t="shared" si="26"/>
        <v>411.05328571428578</v>
      </c>
      <c r="Q156" s="254">
        <v>1.0073502992123051</v>
      </c>
      <c r="R156" s="254">
        <v>0.35493658183304655</v>
      </c>
      <c r="W156" s="30">
        <v>30</v>
      </c>
      <c r="X156" s="249">
        <v>0.38179437755434958</v>
      </c>
      <c r="Y156" s="30">
        <v>30</v>
      </c>
      <c r="Z156" s="249">
        <v>0.41902719697489649</v>
      </c>
      <c r="AA156" s="30">
        <v>30</v>
      </c>
      <c r="AB156" s="249">
        <v>0.35234672795609262</v>
      </c>
    </row>
    <row r="157" spans="2:30" ht="15" customHeight="1" x14ac:dyDescent="0.2">
      <c r="E157" s="30">
        <v>40</v>
      </c>
      <c r="F157" s="249">
        <v>0.32621271751384867</v>
      </c>
      <c r="G157" s="122">
        <v>0.32362286363689469</v>
      </c>
      <c r="H157" s="35"/>
      <c r="I157" s="5">
        <f t="shared" si="25"/>
        <v>12.595796250000001</v>
      </c>
      <c r="J157" s="1"/>
      <c r="K157" s="22"/>
      <c r="L157" s="98">
        <v>40</v>
      </c>
      <c r="M157" s="94">
        <f t="shared" si="27"/>
        <v>503.83185000000003</v>
      </c>
      <c r="N157" s="13"/>
      <c r="O157" s="84">
        <v>40</v>
      </c>
      <c r="P157" s="126">
        <f t="shared" si="26"/>
        <v>504.20414285714276</v>
      </c>
      <c r="Q157" s="254">
        <v>1.0080026913050859</v>
      </c>
      <c r="R157" s="254">
        <v>0.32621271751384867</v>
      </c>
      <c r="W157" s="30">
        <v>40</v>
      </c>
      <c r="X157" s="249">
        <v>0.34849284928886071</v>
      </c>
      <c r="Y157" s="30">
        <v>40</v>
      </c>
      <c r="Z157" s="249">
        <v>0.38382582895724304</v>
      </c>
      <c r="AA157" s="30">
        <v>40</v>
      </c>
      <c r="AB157" s="249">
        <v>0.32362286363689469</v>
      </c>
    </row>
    <row r="158" spans="2:30" ht="15" customHeight="1" x14ac:dyDescent="0.2">
      <c r="E158" s="30">
        <v>50</v>
      </c>
      <c r="F158" s="250">
        <v>0.30821128420397603</v>
      </c>
      <c r="G158" s="123">
        <v>0.3056214303270221</v>
      </c>
      <c r="H158" s="36"/>
      <c r="I158" s="23">
        <f t="shared" si="25"/>
        <v>11.900720999999999</v>
      </c>
      <c r="J158" s="24"/>
      <c r="K158" s="17"/>
      <c r="L158" s="99">
        <v>50</v>
      </c>
      <c r="M158" s="100">
        <f>L158*I158</f>
        <v>595.03604999999993</v>
      </c>
      <c r="N158" s="16"/>
      <c r="O158" s="107">
        <v>50</v>
      </c>
      <c r="P158" s="127">
        <f t="shared" si="26"/>
        <v>595.13171428571422</v>
      </c>
      <c r="Q158" s="254">
        <v>1.0084740584918497</v>
      </c>
      <c r="R158" s="254">
        <v>0.30821128420397603</v>
      </c>
      <c r="W158" s="30">
        <v>50</v>
      </c>
      <c r="X158" s="250">
        <v>0.32816631833683368</v>
      </c>
      <c r="Y158" s="30">
        <v>50</v>
      </c>
      <c r="Z158" s="250">
        <v>0.35861669533023494</v>
      </c>
      <c r="AA158" s="30">
        <v>50</v>
      </c>
      <c r="AB158" s="250">
        <v>0.3056214303270221</v>
      </c>
    </row>
    <row r="159" spans="2:30" ht="15" customHeight="1" x14ac:dyDescent="0.2">
      <c r="E159" s="2"/>
      <c r="F159" s="160"/>
      <c r="G159" s="160"/>
      <c r="H159" s="40"/>
      <c r="I159" s="161"/>
      <c r="J159" s="40"/>
      <c r="K159" s="40"/>
      <c r="L159" s="162"/>
      <c r="M159" s="162"/>
      <c r="N159" s="66"/>
      <c r="O159" s="163"/>
      <c r="P159" s="162"/>
    </row>
    <row r="160" spans="2:30" ht="15" customHeight="1" x14ac:dyDescent="0.2">
      <c r="E160" s="2"/>
      <c r="F160" s="160"/>
      <c r="G160" s="160"/>
      <c r="H160" s="40"/>
      <c r="I160" s="161"/>
      <c r="J160" s="40"/>
      <c r="L160" s="162"/>
      <c r="M160" s="321"/>
      <c r="N160" s="322" t="s">
        <v>167</v>
      </c>
      <c r="P160" s="162"/>
      <c r="Z160" s="53">
        <f t="shared" ref="Z160:Z169" si="28">Z149/X149</f>
        <v>0.95461005115800002</v>
      </c>
      <c r="AB160" s="53">
        <f t="shared" ref="AB160:AB169" si="29">AB149/Z149</f>
        <v>0.86646771440405534</v>
      </c>
      <c r="AD160" s="53">
        <f>AB149/X149</f>
        <v>0.82713878917401062</v>
      </c>
    </row>
    <row r="161" spans="1:30" ht="15" customHeight="1" x14ac:dyDescent="0.2">
      <c r="F161" s="41"/>
      <c r="G161" s="41"/>
      <c r="H161" s="41"/>
      <c r="I161" s="41"/>
      <c r="J161" s="41"/>
      <c r="K161" s="41"/>
      <c r="L161" s="41"/>
      <c r="M161" s="41"/>
      <c r="P161" s="41"/>
      <c r="Z161" s="53">
        <f t="shared" si="28"/>
        <v>0.97954348115572076</v>
      </c>
      <c r="AB161" s="53">
        <f t="shared" si="29"/>
        <v>0.86746033370592757</v>
      </c>
      <c r="AD161" s="53">
        <f t="shared" ref="AD161:AD169" si="30">AB150/X150</f>
        <v>0.8497151150428075</v>
      </c>
    </row>
    <row r="162" spans="1:30" ht="15" customHeight="1" x14ac:dyDescent="0.2">
      <c r="A162" s="90" t="s">
        <v>85</v>
      </c>
      <c r="B162" s="64" t="s">
        <v>86</v>
      </c>
      <c r="Z162" s="53">
        <f t="shared" si="28"/>
        <v>1.002373702528786</v>
      </c>
      <c r="AB162" s="53">
        <f t="shared" si="29"/>
        <v>0.8550182576551677</v>
      </c>
      <c r="AD162" s="53">
        <f t="shared" si="30"/>
        <v>0.85704781665552199</v>
      </c>
    </row>
    <row r="163" spans="1:30" ht="15" customHeight="1" x14ac:dyDescent="0.2">
      <c r="B163" s="90" t="s">
        <v>87</v>
      </c>
      <c r="Z163" s="53">
        <f t="shared" si="28"/>
        <v>1.0213736994678868</v>
      </c>
      <c r="AB163" s="53">
        <f t="shared" si="29"/>
        <v>0.8412798102731841</v>
      </c>
      <c r="AD163" s="53">
        <f t="shared" si="30"/>
        <v>0.85926107210636393</v>
      </c>
    </row>
    <row r="164" spans="1:30" ht="15" customHeight="1" x14ac:dyDescent="0.2">
      <c r="Z164" s="53">
        <f t="shared" si="28"/>
        <v>1.0384637649065713</v>
      </c>
      <c r="AB164" s="53">
        <f t="shared" si="29"/>
        <v>0.8284389387315434</v>
      </c>
      <c r="AD164" s="53">
        <f t="shared" si="30"/>
        <v>0.86030381931036282</v>
      </c>
    </row>
    <row r="165" spans="1:30" ht="15" customHeight="1" x14ac:dyDescent="0.2">
      <c r="B165" s="90"/>
      <c r="F165" s="1"/>
      <c r="Z165" s="53">
        <f t="shared" si="28"/>
        <v>1.0696728577440384</v>
      </c>
      <c r="AB165" s="53">
        <f t="shared" si="29"/>
        <v>0.83513248088072545</v>
      </c>
      <c r="AD165" s="53">
        <f t="shared" si="30"/>
        <v>0.8933185474185541</v>
      </c>
    </row>
    <row r="166" spans="1:30" ht="15" customHeight="1" x14ac:dyDescent="0.2">
      <c r="B166" s="64"/>
      <c r="J166" s="64" t="s">
        <v>88</v>
      </c>
      <c r="Z166" s="53">
        <f t="shared" si="28"/>
        <v>1.0832334281367113</v>
      </c>
      <c r="AB166" s="53">
        <f t="shared" si="29"/>
        <v>0.84369039937591261</v>
      </c>
      <c r="AD166" s="53">
        <f t="shared" si="30"/>
        <v>0.91391364360200089</v>
      </c>
    </row>
    <row r="167" spans="1:30" ht="15" customHeight="1" thickBot="1" x14ac:dyDescent="0.25">
      <c r="B167" s="90"/>
      <c r="H167" s="307" t="s">
        <v>89</v>
      </c>
      <c r="Z167" s="53">
        <f t="shared" si="28"/>
        <v>1.097520606927342</v>
      </c>
      <c r="AB167" s="53">
        <f t="shared" si="29"/>
        <v>0.84086839828012727</v>
      </c>
      <c r="AD167" s="53">
        <f t="shared" si="30"/>
        <v>0.92287039482642719</v>
      </c>
    </row>
    <row r="168" spans="1:30" ht="15" customHeight="1" x14ac:dyDescent="0.2">
      <c r="F168" s="117" t="s">
        <v>56</v>
      </c>
      <c r="L168" s="164" t="s">
        <v>90</v>
      </c>
      <c r="P168" s="141"/>
      <c r="Z168" s="53">
        <f t="shared" si="28"/>
        <v>1.1013879617343176</v>
      </c>
      <c r="AB168" s="53">
        <f t="shared" si="29"/>
        <v>0.8431503020943002</v>
      </c>
      <c r="AD168" s="53">
        <f t="shared" si="30"/>
        <v>0.9286355926593155</v>
      </c>
    </row>
    <row r="169" spans="1:30" ht="15" customHeight="1" x14ac:dyDescent="0.2">
      <c r="F169" s="117" t="s">
        <v>33</v>
      </c>
      <c r="H169" s="173" t="s">
        <v>33</v>
      </c>
      <c r="L169" s="65">
        <v>1</v>
      </c>
      <c r="M169" s="52" t="s">
        <v>12</v>
      </c>
      <c r="N169" s="124" t="s">
        <v>27</v>
      </c>
      <c r="O169" s="52" t="s">
        <v>33</v>
      </c>
      <c r="P169" s="142" t="s">
        <v>52</v>
      </c>
      <c r="S169" s="174" t="s">
        <v>97</v>
      </c>
      <c r="Z169" s="53">
        <f t="shared" si="28"/>
        <v>1.0927894646462366</v>
      </c>
      <c r="AB169" s="53">
        <f t="shared" si="29"/>
        <v>0.85222309587563472</v>
      </c>
      <c r="AD169" s="53">
        <f t="shared" si="30"/>
        <v>0.9313004207010932</v>
      </c>
    </row>
    <row r="170" spans="1:30" ht="15" customHeight="1" x14ac:dyDescent="0.2">
      <c r="B170" s="269">
        <f>D149</f>
        <v>2.46</v>
      </c>
      <c r="C170" s="78" t="s">
        <v>3</v>
      </c>
      <c r="D170" s="10"/>
      <c r="E170" s="3" t="s">
        <v>2</v>
      </c>
      <c r="F170" s="117" t="s">
        <v>72</v>
      </c>
      <c r="G170" s="29" t="s">
        <v>20</v>
      </c>
      <c r="H170" s="4" t="s">
        <v>25</v>
      </c>
      <c r="J170" s="38" t="s">
        <v>60</v>
      </c>
      <c r="K170" s="3" t="s">
        <v>2</v>
      </c>
      <c r="L170" s="4" t="s">
        <v>25</v>
      </c>
      <c r="M170" s="21" t="s">
        <v>13</v>
      </c>
      <c r="N170" s="125" t="s">
        <v>61</v>
      </c>
      <c r="O170" s="21" t="s">
        <v>19</v>
      </c>
      <c r="P170" s="142" t="s">
        <v>36</v>
      </c>
      <c r="Q170" s="165" t="s">
        <v>96</v>
      </c>
      <c r="R170" s="165" t="s">
        <v>59</v>
      </c>
      <c r="S170" s="172" t="s">
        <v>28</v>
      </c>
    </row>
    <row r="171" spans="1:30" ht="15" customHeight="1" x14ac:dyDescent="0.2">
      <c r="B171" s="270">
        <f t="shared" ref="B171:B172" si="31">D150</f>
        <v>5</v>
      </c>
      <c r="C171" s="1" t="s">
        <v>0</v>
      </c>
      <c r="D171" s="22"/>
      <c r="E171" s="71">
        <v>1</v>
      </c>
      <c r="F171" s="55">
        <f>F129</f>
        <v>22.508728323243179</v>
      </c>
      <c r="G171" s="46">
        <f>F171/E171</f>
        <v>22.508728323243179</v>
      </c>
      <c r="H171" s="63">
        <f t="shared" ref="H171:H180" si="32">SQRT(12*32.2*G171^2/(4*$B$172*($B$171*56)*$B$170^2))</f>
        <v>0.58292936970756293</v>
      </c>
      <c r="J171" s="63">
        <v>0.58292915415283098</v>
      </c>
      <c r="K171" s="71">
        <v>1</v>
      </c>
      <c r="L171" s="63">
        <f>J171*$L$169</f>
        <v>0.58292915415283098</v>
      </c>
      <c r="M171" s="5">
        <f>(B171*2.20462*25.4*12)</f>
        <v>3359.8408799999997</v>
      </c>
      <c r="N171" s="74">
        <f t="shared" ref="N171:N180" si="33">L171*B$170*SQRT(4*B$172*M$171/32.2)/12</f>
        <v>22.508187019355532</v>
      </c>
      <c r="O171" s="74">
        <f>K171*N171</f>
        <v>22.508187019355532</v>
      </c>
      <c r="P171" s="137">
        <f t="shared" ref="P171:P180" si="34">M101</f>
        <v>1.013950143939307</v>
      </c>
      <c r="Q171" s="60">
        <f>P171*O171</f>
        <v>22.822179468088382</v>
      </c>
      <c r="R171" s="60">
        <f>Q171-O171</f>
        <v>0.3139924487328507</v>
      </c>
      <c r="S171" s="169">
        <f>R171/Q171</f>
        <v>1.3758214861639204E-2</v>
      </c>
    </row>
    <row r="172" spans="1:30" ht="15" customHeight="1" x14ac:dyDescent="0.2">
      <c r="B172" s="271">
        <f t="shared" si="31"/>
        <v>85</v>
      </c>
      <c r="C172" s="77" t="s">
        <v>1</v>
      </c>
      <c r="D172" s="17"/>
      <c r="E172" s="70">
        <v>2</v>
      </c>
      <c r="F172" s="54">
        <f t="shared" ref="F172:F180" si="35">F130</f>
        <v>44.221444696150471</v>
      </c>
      <c r="G172" s="45">
        <f t="shared" ref="G172:G180" si="36">F172/E172</f>
        <v>22.110722348075235</v>
      </c>
      <c r="H172" s="62">
        <f t="shared" si="32"/>
        <v>0.57262184060540067</v>
      </c>
      <c r="J172" s="62">
        <v>0.57262126183661255</v>
      </c>
      <c r="K172" s="70">
        <v>2</v>
      </c>
      <c r="L172" s="62">
        <f t="shared" ref="L172:L180" si="37">J172*$L$169</f>
        <v>0.57262126183661255</v>
      </c>
      <c r="N172" s="73">
        <f t="shared" si="33"/>
        <v>22.110176444012112</v>
      </c>
      <c r="O172" s="73">
        <f t="shared" ref="O172:O180" si="38">K172*N172</f>
        <v>44.220352888024223</v>
      </c>
      <c r="P172" s="137">
        <f t="shared" si="34"/>
        <v>1.0309352172774917</v>
      </c>
      <c r="Q172" s="59">
        <f t="shared" ref="Q172:Q180" si="39">P172*O172</f>
        <v>45.588319112702614</v>
      </c>
      <c r="R172" s="59">
        <f t="shared" ref="R172:R180" si="40">Q172-O172</f>
        <v>1.3679662246783906</v>
      </c>
      <c r="S172" s="170">
        <f t="shared" ref="S172:S180" si="41">R172/Q172</f>
        <v>3.0006945886654195E-2</v>
      </c>
    </row>
    <row r="173" spans="1:30" ht="15" customHeight="1" x14ac:dyDescent="0.2">
      <c r="E173" s="69">
        <v>3</v>
      </c>
      <c r="F173" s="50">
        <f t="shared" si="35"/>
        <v>62.373428262465353</v>
      </c>
      <c r="G173" s="44">
        <f t="shared" si="36"/>
        <v>20.791142754155118</v>
      </c>
      <c r="H173" s="61">
        <f t="shared" si="32"/>
        <v>0.53844746656186593</v>
      </c>
      <c r="J173" s="61">
        <v>0.53844635931794094</v>
      </c>
      <c r="K173" s="69">
        <v>3</v>
      </c>
      <c r="L173" s="61">
        <f t="shared" si="37"/>
        <v>0.53844635931794094</v>
      </c>
      <c r="N173" s="72">
        <f t="shared" si="33"/>
        <v>20.790607690624913</v>
      </c>
      <c r="O173" s="72">
        <f>K173*N173</f>
        <v>62.371823071874744</v>
      </c>
      <c r="P173" s="137">
        <f t="shared" si="34"/>
        <v>1.0476805601815811</v>
      </c>
      <c r="Q173" s="58">
        <f t="shared" si="39"/>
        <v>65.345746535488189</v>
      </c>
      <c r="R173" s="58">
        <f>Q173-O173</f>
        <v>2.9739234636134455</v>
      </c>
      <c r="S173" s="171">
        <f t="shared" si="41"/>
        <v>4.5510589767282818E-2</v>
      </c>
    </row>
    <row r="174" spans="1:30" ht="15" customHeight="1" x14ac:dyDescent="0.2">
      <c r="E174" s="69">
        <v>4</v>
      </c>
      <c r="F174" s="50">
        <f t="shared" si="35"/>
        <v>77.690518663519896</v>
      </c>
      <c r="G174" s="44">
        <f t="shared" si="36"/>
        <v>19.422629665879974</v>
      </c>
      <c r="H174" s="61">
        <f t="shared" si="32"/>
        <v>0.50300581652599952</v>
      </c>
      <c r="J174" s="61">
        <v>0.50300401232422853</v>
      </c>
      <c r="K174" s="69">
        <v>4</v>
      </c>
      <c r="L174" s="61">
        <f t="shared" si="37"/>
        <v>0.50300401232422853</v>
      </c>
      <c r="N174" s="72">
        <f t="shared" si="33"/>
        <v>19.422100096080722</v>
      </c>
      <c r="O174" s="72">
        <f t="shared" si="38"/>
        <v>77.68840038432289</v>
      </c>
      <c r="P174" s="137">
        <f t="shared" si="34"/>
        <v>1.0650529831302715</v>
      </c>
      <c r="Q174" s="58">
        <f t="shared" si="39"/>
        <v>82.742262583942022</v>
      </c>
      <c r="R174" s="58">
        <f t="shared" si="40"/>
        <v>5.0538621996191324</v>
      </c>
      <c r="S174" s="171">
        <f t="shared" si="41"/>
        <v>6.1079574594566949E-2</v>
      </c>
    </row>
    <row r="175" spans="1:30" ht="15" customHeight="1" x14ac:dyDescent="0.2">
      <c r="E175" s="70">
        <v>5</v>
      </c>
      <c r="F175" s="54">
        <f t="shared" si="35"/>
        <v>90.898555540646157</v>
      </c>
      <c r="G175" s="45">
        <f t="shared" si="36"/>
        <v>18.179711108129233</v>
      </c>
      <c r="H175" s="62">
        <f t="shared" si="32"/>
        <v>0.47081680428760936</v>
      </c>
      <c r="J175" s="62">
        <v>0.47081413400095773</v>
      </c>
      <c r="K175" s="70">
        <v>5</v>
      </c>
      <c r="L175" s="62">
        <f t="shared" si="37"/>
        <v>0.47081413400095773</v>
      </c>
      <c r="N175" s="73">
        <f t="shared" si="33"/>
        <v>18.179177527756881</v>
      </c>
      <c r="O175" s="73">
        <f t="shared" si="38"/>
        <v>90.895887638784401</v>
      </c>
      <c r="P175" s="137">
        <f t="shared" si="34"/>
        <v>1.0804963286432878</v>
      </c>
      <c r="Q175" s="59">
        <f t="shared" si="39"/>
        <v>98.212672882479353</v>
      </c>
      <c r="R175" s="59">
        <f t="shared" si="40"/>
        <v>7.3167852436949516</v>
      </c>
      <c r="S175" s="170">
        <f t="shared" si="41"/>
        <v>7.4499400423101908E-2</v>
      </c>
    </row>
    <row r="176" spans="1:30" ht="15" customHeight="1" x14ac:dyDescent="0.2">
      <c r="E176" s="69">
        <v>10</v>
      </c>
      <c r="F176" s="50">
        <f t="shared" si="35"/>
        <v>150.71151939984463</v>
      </c>
      <c r="G176" s="44">
        <f t="shared" si="36"/>
        <v>15.071151939984464</v>
      </c>
      <c r="H176" s="61">
        <f t="shared" si="32"/>
        <v>0.39031157047064163</v>
      </c>
      <c r="J176" s="61">
        <v>0.38949300334398668</v>
      </c>
      <c r="K176" s="75">
        <v>10</v>
      </c>
      <c r="L176" s="61">
        <f t="shared" si="37"/>
        <v>0.38949300334398668</v>
      </c>
      <c r="M176" s="41"/>
      <c r="N176" s="76">
        <f t="shared" si="33"/>
        <v>15.039188380855057</v>
      </c>
      <c r="O176" s="76">
        <f t="shared" si="38"/>
        <v>150.39188380855057</v>
      </c>
      <c r="P176" s="137">
        <f t="shared" si="34"/>
        <v>1.1202761412809346</v>
      </c>
      <c r="Q176" s="58">
        <f t="shared" si="39"/>
        <v>168.4804392730137</v>
      </c>
      <c r="R176" s="58">
        <f t="shared" si="40"/>
        <v>18.088555464463127</v>
      </c>
      <c r="S176" s="171">
        <f t="shared" si="41"/>
        <v>0.10736294101864</v>
      </c>
    </row>
    <row r="177" spans="2:19" ht="15" customHeight="1" x14ac:dyDescent="0.2">
      <c r="E177" s="69">
        <v>20</v>
      </c>
      <c r="F177" s="50">
        <f t="shared" si="35"/>
        <v>252.13714285714292</v>
      </c>
      <c r="G177" s="44">
        <f t="shared" si="36"/>
        <v>12.606857142857146</v>
      </c>
      <c r="H177" s="61">
        <f t="shared" si="32"/>
        <v>0.32649144735068414</v>
      </c>
      <c r="J177" s="61">
        <v>0.32692045573621309</v>
      </c>
      <c r="K177" s="69">
        <v>20</v>
      </c>
      <c r="L177" s="61">
        <f t="shared" si="37"/>
        <v>0.32692045573621309</v>
      </c>
      <c r="N177" s="72">
        <f t="shared" si="33"/>
        <v>12.62312359184976</v>
      </c>
      <c r="O177" s="72">
        <f t="shared" si="38"/>
        <v>252.46247183699521</v>
      </c>
      <c r="P177" s="137">
        <f t="shared" si="34"/>
        <v>1.1496526833469314</v>
      </c>
      <c r="Q177" s="58">
        <f t="shared" si="39"/>
        <v>290.24415819180064</v>
      </c>
      <c r="R177" s="58">
        <f t="shared" si="40"/>
        <v>37.78168635480543</v>
      </c>
      <c r="S177" s="171">
        <f t="shared" si="41"/>
        <v>0.13017208198153757</v>
      </c>
    </row>
    <row r="178" spans="2:19" ht="15" customHeight="1" x14ac:dyDescent="0.2">
      <c r="E178" s="69">
        <v>30</v>
      </c>
      <c r="F178" s="50">
        <f t="shared" si="35"/>
        <v>340.1942857142858</v>
      </c>
      <c r="G178" s="44">
        <f t="shared" si="36"/>
        <v>11.339809523809526</v>
      </c>
      <c r="H178" s="61">
        <f t="shared" si="32"/>
        <v>0.29367754247991462</v>
      </c>
      <c r="J178" s="61">
        <v>0.29375814052384225</v>
      </c>
      <c r="K178" s="69">
        <v>30</v>
      </c>
      <c r="L178" s="61">
        <f t="shared" si="37"/>
        <v>0.29375814052384225</v>
      </c>
      <c r="N178" s="72">
        <f t="shared" si="33"/>
        <v>11.342653079305853</v>
      </c>
      <c r="O178" s="72">
        <f t="shared" si="38"/>
        <v>340.2795923791756</v>
      </c>
      <c r="P178" s="137">
        <f t="shared" si="34"/>
        <v>1.1494998656230053</v>
      </c>
      <c r="Q178" s="58">
        <f t="shared" si="39"/>
        <v>391.15134571411335</v>
      </c>
      <c r="R178" s="58">
        <f t="shared" si="40"/>
        <v>50.87175333493775</v>
      </c>
      <c r="S178" s="171">
        <f t="shared" si="41"/>
        <v>0.13005644462775068</v>
      </c>
    </row>
    <row r="179" spans="2:19" ht="15" customHeight="1" x14ac:dyDescent="0.2">
      <c r="E179" s="69">
        <v>40</v>
      </c>
      <c r="F179" s="50">
        <f t="shared" si="35"/>
        <v>420.33714285714279</v>
      </c>
      <c r="G179" s="44">
        <f t="shared" si="36"/>
        <v>10.508428571428571</v>
      </c>
      <c r="H179" s="61">
        <f t="shared" si="32"/>
        <v>0.27214650049484373</v>
      </c>
      <c r="J179" s="61">
        <v>0.27190546017767836</v>
      </c>
      <c r="K179" s="69">
        <v>40</v>
      </c>
      <c r="L179" s="61">
        <f t="shared" si="37"/>
        <v>0.27190546017767836</v>
      </c>
      <c r="N179" s="72">
        <f t="shared" si="33"/>
        <v>10.498872642864178</v>
      </c>
      <c r="O179" s="72">
        <f t="shared" si="38"/>
        <v>419.95490571456713</v>
      </c>
      <c r="P179" s="137">
        <f t="shared" si="34"/>
        <v>1.1493253714705203</v>
      </c>
      <c r="Q179" s="58">
        <f t="shared" si="39"/>
        <v>482.66482801126216</v>
      </c>
      <c r="R179" s="58">
        <f t="shared" si="40"/>
        <v>62.709922296695026</v>
      </c>
      <c r="S179" s="171">
        <f t="shared" si="41"/>
        <v>0.12992436709150848</v>
      </c>
    </row>
    <row r="180" spans="2:19" ht="15" customHeight="1" thickBot="1" x14ac:dyDescent="0.25">
      <c r="E180" s="70">
        <v>50</v>
      </c>
      <c r="F180" s="54">
        <f t="shared" si="35"/>
        <v>498.01571428571424</v>
      </c>
      <c r="G180" s="45">
        <f t="shared" si="36"/>
        <v>9.9603142857142846</v>
      </c>
      <c r="H180" s="62">
        <f t="shared" si="32"/>
        <v>0.25795147754593717</v>
      </c>
      <c r="J180" s="62">
        <v>0.2579019274150065</v>
      </c>
      <c r="K180" s="70">
        <v>50</v>
      </c>
      <c r="L180" s="62">
        <f t="shared" si="37"/>
        <v>0.2579019274150065</v>
      </c>
      <c r="N180" s="73">
        <f t="shared" si="33"/>
        <v>9.9581651964988271</v>
      </c>
      <c r="O180" s="73">
        <f t="shared" si="38"/>
        <v>497.90825982494135</v>
      </c>
      <c r="P180" s="138">
        <f t="shared" si="34"/>
        <v>1.1494250038007978</v>
      </c>
      <c r="Q180" s="59">
        <f t="shared" si="39"/>
        <v>572.30820344173185</v>
      </c>
      <c r="R180" s="59">
        <f t="shared" si="40"/>
        <v>74.399943616790495</v>
      </c>
      <c r="S180" s="170">
        <f t="shared" si="41"/>
        <v>0.12999978537677093</v>
      </c>
    </row>
    <row r="181" spans="2:19" ht="15" customHeight="1" x14ac:dyDescent="0.2">
      <c r="E181" s="323"/>
      <c r="F181" s="324"/>
      <c r="G181" s="323"/>
      <c r="H181" s="325"/>
      <c r="I181" s="41"/>
      <c r="J181" s="325"/>
      <c r="K181" s="323"/>
      <c r="L181" s="325"/>
      <c r="M181" s="41"/>
      <c r="N181" s="324"/>
      <c r="O181" s="324"/>
      <c r="P181" s="326"/>
      <c r="Q181" s="324"/>
      <c r="R181" s="324"/>
      <c r="S181" s="327"/>
    </row>
    <row r="182" spans="2:19" ht="15" customHeight="1" x14ac:dyDescent="0.2">
      <c r="E182" s="323"/>
      <c r="F182" s="324"/>
      <c r="G182" s="323"/>
      <c r="H182" s="325"/>
      <c r="I182" s="41"/>
      <c r="J182" s="325"/>
      <c r="K182" s="323"/>
      <c r="L182" s="325"/>
      <c r="M182" s="41"/>
      <c r="N182" s="324"/>
      <c r="O182" s="324"/>
      <c r="P182" s="326"/>
      <c r="Q182" s="324"/>
      <c r="R182" s="311" t="s">
        <v>53</v>
      </c>
      <c r="S182" s="327"/>
    </row>
    <row r="183" spans="2:19" ht="15" customHeight="1" x14ac:dyDescent="0.2">
      <c r="E183" s="323"/>
      <c r="F183" s="324"/>
      <c r="G183" s="323"/>
      <c r="H183" s="325"/>
      <c r="I183" s="41"/>
      <c r="J183" s="325"/>
      <c r="K183" s="323"/>
      <c r="L183" s="325"/>
      <c r="M183" s="41"/>
      <c r="N183" s="324"/>
      <c r="O183" s="324"/>
      <c r="P183" s="326"/>
      <c r="Q183" s="324"/>
      <c r="R183" s="328">
        <f t="shared" ref="R183:R192" si="42">G101</f>
        <v>0.314</v>
      </c>
      <c r="S183" s="327"/>
    </row>
    <row r="184" spans="2:19" ht="15" customHeight="1" x14ac:dyDescent="0.2">
      <c r="E184" s="323"/>
      <c r="F184" s="324"/>
      <c r="G184" s="323"/>
      <c r="H184" s="325"/>
      <c r="I184" s="41"/>
      <c r="J184" s="325"/>
      <c r="K184" s="323"/>
      <c r="L184" s="325"/>
      <c r="M184" s="41"/>
      <c r="N184" s="324"/>
      <c r="O184" s="324"/>
      <c r="P184" s="326"/>
      <c r="Q184" s="324"/>
      <c r="R184" s="59">
        <f t="shared" si="42"/>
        <v>1.3680000000000001</v>
      </c>
      <c r="S184" s="327"/>
    </row>
    <row r="185" spans="2:19" ht="15" customHeight="1" x14ac:dyDescent="0.2">
      <c r="E185" s="323"/>
      <c r="F185" s="324"/>
      <c r="G185" s="323"/>
      <c r="H185" s="325"/>
      <c r="I185" s="41"/>
      <c r="J185" s="325"/>
      <c r="K185" s="323"/>
      <c r="L185" s="325"/>
      <c r="M185" s="41"/>
      <c r="N185" s="324"/>
      <c r="O185" s="324"/>
      <c r="P185" s="326"/>
      <c r="Q185" s="324"/>
      <c r="R185" s="58">
        <f t="shared" si="42"/>
        <v>2.9740000000000002</v>
      </c>
      <c r="S185" s="327"/>
    </row>
    <row r="186" spans="2:19" ht="15" customHeight="1" x14ac:dyDescent="0.2">
      <c r="E186" s="323"/>
      <c r="F186" s="324"/>
      <c r="G186" s="323"/>
      <c r="H186" s="325"/>
      <c r="I186" s="41"/>
      <c r="J186" s="325"/>
      <c r="K186" s="323"/>
      <c r="L186" s="325"/>
      <c r="M186" s="41"/>
      <c r="N186" s="324"/>
      <c r="O186" s="324"/>
      <c r="P186" s="326"/>
      <c r="Q186" s="324"/>
      <c r="R186" s="58">
        <f t="shared" si="42"/>
        <v>5.0540000000000003</v>
      </c>
      <c r="S186" s="327"/>
    </row>
    <row r="187" spans="2:19" ht="15" customHeight="1" x14ac:dyDescent="0.2">
      <c r="R187" s="59">
        <f t="shared" si="42"/>
        <v>7.3170000000000002</v>
      </c>
    </row>
    <row r="188" spans="2:19" ht="15" customHeight="1" x14ac:dyDescent="0.2">
      <c r="R188" s="58">
        <f t="shared" si="42"/>
        <v>18.126999999999999</v>
      </c>
    </row>
    <row r="189" spans="2:19" ht="15" customHeight="1" x14ac:dyDescent="0.2">
      <c r="R189" s="58">
        <f t="shared" si="42"/>
        <v>37.732999999999997</v>
      </c>
    </row>
    <row r="190" spans="2:19" ht="15" customHeight="1" x14ac:dyDescent="0.2">
      <c r="R190" s="58">
        <f t="shared" si="42"/>
        <v>50.859000000000002</v>
      </c>
    </row>
    <row r="191" spans="2:19" ht="15" customHeight="1" x14ac:dyDescent="0.2">
      <c r="F191" s="41"/>
      <c r="G191" s="41"/>
      <c r="H191" s="41"/>
      <c r="I191" s="41"/>
      <c r="J191" s="41"/>
      <c r="K191" s="41"/>
      <c r="L191" s="41"/>
      <c r="M191" s="41"/>
      <c r="N191" s="41"/>
      <c r="O191" s="41"/>
      <c r="P191" s="41"/>
      <c r="R191" s="58">
        <f t="shared" si="42"/>
        <v>62.767000000000003</v>
      </c>
    </row>
    <row r="192" spans="2:19" ht="15" customHeight="1" x14ac:dyDescent="0.2">
      <c r="B192" s="90"/>
      <c r="R192" s="59">
        <f t="shared" si="42"/>
        <v>74.415999999999997</v>
      </c>
    </row>
    <row r="193" spans="1:17" ht="15" customHeight="1" x14ac:dyDescent="0.2">
      <c r="A193" s="90" t="s">
        <v>95</v>
      </c>
      <c r="B193" s="64" t="s">
        <v>178</v>
      </c>
    </row>
    <row r="194" spans="1:17" ht="15" customHeight="1" x14ac:dyDescent="0.2"/>
    <row r="195" spans="1:17" ht="15" customHeight="1" x14ac:dyDescent="0.2">
      <c r="B195" s="90"/>
    </row>
    <row r="196" spans="1:17" ht="15" customHeight="1" x14ac:dyDescent="0.2">
      <c r="B196" s="64"/>
      <c r="J196" s="64" t="s">
        <v>88</v>
      </c>
    </row>
    <row r="197" spans="1:17" ht="15" customHeight="1" x14ac:dyDescent="0.2">
      <c r="B197" s="90"/>
      <c r="H197" s="307" t="s">
        <v>89</v>
      </c>
    </row>
    <row r="198" spans="1:17" ht="15" customHeight="1" x14ac:dyDescent="0.2">
      <c r="F198" s="117" t="s">
        <v>56</v>
      </c>
      <c r="L198" s="164" t="s">
        <v>90</v>
      </c>
    </row>
    <row r="199" spans="1:17" ht="15" customHeight="1" x14ac:dyDescent="0.2">
      <c r="F199" s="117" t="s">
        <v>35</v>
      </c>
      <c r="H199" s="173" t="s">
        <v>33</v>
      </c>
      <c r="L199" s="65">
        <v>1</v>
      </c>
      <c r="M199" s="52" t="s">
        <v>12</v>
      </c>
      <c r="N199" s="124" t="s">
        <v>27</v>
      </c>
      <c r="O199" s="181" t="s">
        <v>35</v>
      </c>
    </row>
    <row r="200" spans="1:17" ht="15" customHeight="1" x14ac:dyDescent="0.2">
      <c r="B200" s="269">
        <f>D149</f>
        <v>2.46</v>
      </c>
      <c r="C200" s="78" t="s">
        <v>3</v>
      </c>
      <c r="D200" s="10"/>
      <c r="E200" s="3" t="s">
        <v>2</v>
      </c>
      <c r="F200" s="117" t="s">
        <v>72</v>
      </c>
      <c r="G200" s="29" t="s">
        <v>20</v>
      </c>
      <c r="H200" s="4" t="s">
        <v>25</v>
      </c>
      <c r="J200" s="38" t="s">
        <v>60</v>
      </c>
      <c r="K200" s="3" t="s">
        <v>2</v>
      </c>
      <c r="L200" s="4" t="s">
        <v>25</v>
      </c>
      <c r="M200" s="21" t="s">
        <v>13</v>
      </c>
      <c r="N200" s="125" t="s">
        <v>61</v>
      </c>
      <c r="O200" s="21" t="s">
        <v>19</v>
      </c>
      <c r="Q200" s="311" t="s">
        <v>53</v>
      </c>
    </row>
    <row r="201" spans="1:17" ht="15" customHeight="1" x14ac:dyDescent="0.2">
      <c r="B201" s="270">
        <f>D150</f>
        <v>5</v>
      </c>
      <c r="C201" s="1" t="s">
        <v>0</v>
      </c>
      <c r="D201" s="22"/>
      <c r="E201" s="71">
        <v>1</v>
      </c>
      <c r="F201" s="166">
        <f t="shared" ref="F201:F210" si="43">G129</f>
        <v>0.314</v>
      </c>
      <c r="G201" s="49">
        <f>F201/E201</f>
        <v>0.314</v>
      </c>
      <c r="H201" s="178">
        <f>SQRT(12*32.2*G201^2/(4*$B$202*($B$201*56)*$B$200^2))</f>
        <v>8.1319486138700433E-3</v>
      </c>
      <c r="J201" s="178">
        <v>8.1319486138700433E-3</v>
      </c>
      <c r="K201" s="71">
        <v>1</v>
      </c>
      <c r="L201" s="178">
        <f>J201*$L$199</f>
        <v>8.1319486138700433E-3</v>
      </c>
      <c r="M201" s="5">
        <f>(B201*2.20462*25.4*12)</f>
        <v>3359.8408799999997</v>
      </c>
      <c r="N201" s="74">
        <f>L201*B$200*SQRT(4*B$202*M$201/32.2)/12</f>
        <v>0.31399256484054344</v>
      </c>
      <c r="O201" s="218">
        <f>K201*N201</f>
        <v>0.31399256484054344</v>
      </c>
      <c r="Q201" s="218">
        <f t="shared" ref="Q201:Q210" si="44">G101</f>
        <v>0.314</v>
      </c>
    </row>
    <row r="202" spans="1:17" ht="15" customHeight="1" x14ac:dyDescent="0.2">
      <c r="B202" s="271">
        <f>D151</f>
        <v>85</v>
      </c>
      <c r="C202" s="77" t="s">
        <v>1</v>
      </c>
      <c r="D202" s="17"/>
      <c r="E202" s="70">
        <v>2</v>
      </c>
      <c r="F202" s="167">
        <f t="shared" si="43"/>
        <v>1.3680000000000001</v>
      </c>
      <c r="G202" s="48">
        <f t="shared" ref="G202:G210" si="45">F202/E202</f>
        <v>0.68400000000000005</v>
      </c>
      <c r="H202" s="179">
        <f t="shared" ref="H202:H210" si="46">SQRT(12*32.2*G202^2/(4*$B$202*($B$201*56)*$B$200^2))</f>
        <v>1.7714181056965317E-2</v>
      </c>
      <c r="J202" s="179">
        <v>1.7714181056965317E-2</v>
      </c>
      <c r="K202" s="70">
        <v>2</v>
      </c>
      <c r="L202" s="179">
        <f t="shared" ref="L202:L210" si="47">J202*$L$199</f>
        <v>1.7714181056965317E-2</v>
      </c>
      <c r="N202" s="73">
        <f t="shared" ref="N202:N210" si="48">L202*B$200*SQRT(4*B$202*M$201/32.2)/12</f>
        <v>0.68398380366538758</v>
      </c>
      <c r="O202" s="219">
        <f t="shared" ref="O202" si="49">K202*N202</f>
        <v>1.3679676073307752</v>
      </c>
      <c r="Q202" s="219">
        <f t="shared" si="44"/>
        <v>1.3680000000000001</v>
      </c>
    </row>
    <row r="203" spans="1:17" ht="15" customHeight="1" x14ac:dyDescent="0.2">
      <c r="E203" s="69">
        <v>3</v>
      </c>
      <c r="F203" s="168">
        <f t="shared" si="43"/>
        <v>2.9740000000000002</v>
      </c>
      <c r="G203" s="47">
        <f t="shared" si="45"/>
        <v>0.9913333333333334</v>
      </c>
      <c r="H203" s="180">
        <f t="shared" si="46"/>
        <v>2.5673476834022834E-2</v>
      </c>
      <c r="J203" s="180">
        <v>2.5673476834022834E-2</v>
      </c>
      <c r="K203" s="69">
        <v>3</v>
      </c>
      <c r="L203" s="180">
        <f t="shared" si="47"/>
        <v>2.5673476834022834E-2</v>
      </c>
      <c r="N203" s="72">
        <f t="shared" si="48"/>
        <v>0.99130985969827623</v>
      </c>
      <c r="O203" s="220">
        <f>K203*N203</f>
        <v>2.9739295790948286</v>
      </c>
      <c r="Q203" s="220">
        <f t="shared" si="44"/>
        <v>2.9740000000000002</v>
      </c>
    </row>
    <row r="204" spans="1:17" ht="15" customHeight="1" x14ac:dyDescent="0.2">
      <c r="E204" s="69">
        <v>4</v>
      </c>
      <c r="F204" s="168">
        <f t="shared" si="43"/>
        <v>5.0540000000000003</v>
      </c>
      <c r="G204" s="47">
        <f t="shared" si="45"/>
        <v>1.2635000000000001</v>
      </c>
      <c r="H204" s="180">
        <f t="shared" si="46"/>
        <v>3.2722028896894267E-2</v>
      </c>
      <c r="J204" s="180">
        <v>3.2722028896894267E-2</v>
      </c>
      <c r="K204" s="69">
        <v>4</v>
      </c>
      <c r="L204" s="180">
        <f t="shared" si="47"/>
        <v>3.2722028896894267E-2</v>
      </c>
      <c r="N204" s="72">
        <f t="shared" si="48"/>
        <v>1.2634700817707856</v>
      </c>
      <c r="O204" s="220">
        <f t="shared" ref="O204:O210" si="50">K204*N204</f>
        <v>5.0538803270831423</v>
      </c>
      <c r="Q204" s="220">
        <f t="shared" si="44"/>
        <v>5.0540000000000003</v>
      </c>
    </row>
    <row r="205" spans="1:17" ht="15" customHeight="1" x14ac:dyDescent="0.2">
      <c r="E205" s="70">
        <v>5</v>
      </c>
      <c r="F205" s="167">
        <f t="shared" si="43"/>
        <v>7.3170000000000002</v>
      </c>
      <c r="G205" s="48">
        <f t="shared" si="45"/>
        <v>1.4634</v>
      </c>
      <c r="H205" s="179">
        <f t="shared" si="46"/>
        <v>3.7899024208717901E-2</v>
      </c>
      <c r="J205" s="179">
        <v>3.7899024208717901E-2</v>
      </c>
      <c r="K205" s="70">
        <v>5</v>
      </c>
      <c r="L205" s="179">
        <f t="shared" si="47"/>
        <v>3.7899024208717901E-2</v>
      </c>
      <c r="N205" s="73">
        <f t="shared" si="48"/>
        <v>1.463365348368316</v>
      </c>
      <c r="O205" s="219">
        <f t="shared" si="50"/>
        <v>7.31682674184158</v>
      </c>
      <c r="Q205" s="219">
        <f t="shared" si="44"/>
        <v>7.3170000000000002</v>
      </c>
    </row>
    <row r="206" spans="1:17" ht="15" customHeight="1" x14ac:dyDescent="0.2">
      <c r="E206" s="69">
        <v>10</v>
      </c>
      <c r="F206" s="168">
        <f t="shared" si="43"/>
        <v>18.126999999999999</v>
      </c>
      <c r="G206" s="47">
        <f t="shared" si="45"/>
        <v>1.8127</v>
      </c>
      <c r="H206" s="180">
        <f t="shared" si="46"/>
        <v>4.6945169593510271E-2</v>
      </c>
      <c r="J206" s="180">
        <v>4.6945169593510271E-2</v>
      </c>
      <c r="K206" s="75">
        <v>10</v>
      </c>
      <c r="L206" s="180">
        <f t="shared" si="47"/>
        <v>4.6945169593510271E-2</v>
      </c>
      <c r="M206" s="41"/>
      <c r="N206" s="76">
        <f t="shared" si="48"/>
        <v>1.8126570773453918</v>
      </c>
      <c r="O206" s="221">
        <f t="shared" si="50"/>
        <v>18.126570773453917</v>
      </c>
      <c r="Q206" s="221">
        <f t="shared" si="44"/>
        <v>18.126999999999999</v>
      </c>
    </row>
    <row r="207" spans="1:17" ht="15" customHeight="1" x14ac:dyDescent="0.2">
      <c r="E207" s="69">
        <v>20</v>
      </c>
      <c r="F207" s="168">
        <f t="shared" si="43"/>
        <v>37.732999999999997</v>
      </c>
      <c r="G207" s="47">
        <f t="shared" si="45"/>
        <v>1.8866499999999999</v>
      </c>
      <c r="H207" s="180">
        <f t="shared" si="46"/>
        <v>4.8860321185853234E-2</v>
      </c>
      <c r="J207" s="180">
        <v>4.8860321185853234E-2</v>
      </c>
      <c r="K207" s="69">
        <v>20</v>
      </c>
      <c r="L207" s="180">
        <f t="shared" si="47"/>
        <v>4.8860321185853234E-2</v>
      </c>
      <c r="N207" s="72">
        <f t="shared" si="48"/>
        <v>1.8866053262943032</v>
      </c>
      <c r="O207" s="220">
        <f t="shared" si="50"/>
        <v>37.732106525886067</v>
      </c>
      <c r="Q207" s="220">
        <f t="shared" si="44"/>
        <v>37.732999999999997</v>
      </c>
    </row>
    <row r="208" spans="1:17" ht="15" customHeight="1" x14ac:dyDescent="0.2">
      <c r="E208" s="69">
        <v>30</v>
      </c>
      <c r="F208" s="168">
        <f t="shared" si="43"/>
        <v>50.859000000000002</v>
      </c>
      <c r="G208" s="47">
        <f t="shared" si="45"/>
        <v>1.6953</v>
      </c>
      <c r="H208" s="180">
        <f t="shared" si="46"/>
        <v>4.3904753137241667E-2</v>
      </c>
      <c r="J208" s="180">
        <v>4.3904753137241667E-2</v>
      </c>
      <c r="K208" s="69">
        <v>30</v>
      </c>
      <c r="L208" s="180">
        <f t="shared" si="47"/>
        <v>4.3904753137241667E-2</v>
      </c>
      <c r="N208" s="72">
        <f t="shared" si="48"/>
        <v>1.6952598572425899</v>
      </c>
      <c r="O208" s="220">
        <f t="shared" si="50"/>
        <v>50.857795717277696</v>
      </c>
      <c r="Q208" s="220">
        <f t="shared" si="44"/>
        <v>50.859000000000002</v>
      </c>
    </row>
    <row r="209" spans="1:17" ht="15" customHeight="1" x14ac:dyDescent="0.2">
      <c r="E209" s="69">
        <v>40</v>
      </c>
      <c r="F209" s="168">
        <f t="shared" si="43"/>
        <v>62.767000000000003</v>
      </c>
      <c r="G209" s="47">
        <f t="shared" si="45"/>
        <v>1.569175</v>
      </c>
      <c r="H209" s="180">
        <f t="shared" si="46"/>
        <v>4.0638377280794662E-2</v>
      </c>
      <c r="J209" s="180">
        <v>4.0638377280794662E-2</v>
      </c>
      <c r="K209" s="69">
        <v>40</v>
      </c>
      <c r="L209" s="180">
        <f t="shared" si="47"/>
        <v>4.0638377280794662E-2</v>
      </c>
      <c r="N209" s="72">
        <f t="shared" si="48"/>
        <v>1.5691378437377697</v>
      </c>
      <c r="O209" s="220">
        <f t="shared" si="50"/>
        <v>62.765513749510788</v>
      </c>
      <c r="Q209" s="220">
        <f t="shared" si="44"/>
        <v>62.767000000000003</v>
      </c>
    </row>
    <row r="210" spans="1:17" ht="15" customHeight="1" x14ac:dyDescent="0.2">
      <c r="E210" s="70">
        <v>50</v>
      </c>
      <c r="F210" s="167">
        <f t="shared" si="43"/>
        <v>74.415999999999997</v>
      </c>
      <c r="G210" s="48">
        <f t="shared" si="45"/>
        <v>1.4883199999999999</v>
      </c>
      <c r="H210" s="179">
        <f t="shared" si="46"/>
        <v>3.8544400512723127E-2</v>
      </c>
      <c r="J210" s="179">
        <v>3.8544400512723127E-2</v>
      </c>
      <c r="K210" s="70">
        <v>50</v>
      </c>
      <c r="L210" s="179">
        <f t="shared" si="47"/>
        <v>3.8544400512723127E-2</v>
      </c>
      <c r="N210" s="73">
        <f t="shared" si="48"/>
        <v>1.4882847582913297</v>
      </c>
      <c r="O210" s="219">
        <f t="shared" si="50"/>
        <v>74.414237914566485</v>
      </c>
      <c r="Q210" s="219">
        <f t="shared" si="44"/>
        <v>74.415999999999997</v>
      </c>
    </row>
    <row r="211" spans="1:17" ht="15" customHeight="1" x14ac:dyDescent="0.2"/>
    <row r="212" spans="1:17" ht="15" customHeight="1" x14ac:dyDescent="0.2">
      <c r="O212" s="37"/>
    </row>
    <row r="213" spans="1:17" ht="15" customHeight="1" x14ac:dyDescent="0.2">
      <c r="O213" s="37"/>
    </row>
    <row r="214" spans="1:17" ht="15" customHeight="1" x14ac:dyDescent="0.2">
      <c r="O214" s="37"/>
    </row>
    <row r="215" spans="1:17" ht="15" customHeight="1" x14ac:dyDescent="0.2">
      <c r="O215" s="37"/>
    </row>
    <row r="216" spans="1:17" ht="15" customHeight="1" x14ac:dyDescent="0.2">
      <c r="O216" s="37"/>
    </row>
    <row r="217" spans="1:17" ht="15" customHeight="1" x14ac:dyDescent="0.2">
      <c r="A217" s="51"/>
      <c r="B217" s="9"/>
      <c r="C217" s="9"/>
      <c r="D217" s="9"/>
      <c r="E217" s="9"/>
      <c r="F217" s="9"/>
      <c r="G217" s="9"/>
      <c r="H217" s="9"/>
      <c r="I217" s="9"/>
      <c r="J217" s="9"/>
      <c r="K217" s="9"/>
      <c r="L217" s="9"/>
      <c r="M217" s="9"/>
      <c r="N217" s="9"/>
      <c r="O217" s="272"/>
      <c r="P217" s="10"/>
    </row>
    <row r="218" spans="1:17" ht="15" customHeight="1" x14ac:dyDescent="0.2">
      <c r="A218" s="35"/>
      <c r="B218" s="1"/>
      <c r="C218" s="1"/>
      <c r="D218" s="1"/>
      <c r="E218" s="1"/>
      <c r="F218" s="1"/>
      <c r="G218" s="1"/>
      <c r="H218" s="1"/>
      <c r="I218" s="1"/>
      <c r="J218" s="1"/>
      <c r="K218" s="1"/>
      <c r="L218" s="1"/>
      <c r="M218" s="1"/>
      <c r="N218" s="1"/>
      <c r="O218" s="334" t="s">
        <v>195</v>
      </c>
      <c r="P218" s="299"/>
    </row>
    <row r="219" spans="1:17" ht="15" customHeight="1" x14ac:dyDescent="0.2">
      <c r="A219" s="35"/>
      <c r="B219" s="1"/>
      <c r="C219" s="1"/>
      <c r="D219" s="1"/>
      <c r="E219" s="1"/>
      <c r="F219" s="1"/>
      <c r="G219" s="1"/>
      <c r="H219" s="1"/>
      <c r="I219" s="1"/>
      <c r="J219" s="1"/>
      <c r="K219" s="1"/>
      <c r="L219" s="1"/>
      <c r="M219" s="1"/>
      <c r="N219" s="1"/>
      <c r="O219" s="273"/>
      <c r="P219" s="22"/>
    </row>
    <row r="220" spans="1:17" ht="15" customHeight="1" x14ac:dyDescent="0.2">
      <c r="A220" s="274" t="s">
        <v>98</v>
      </c>
      <c r="B220" s="275" t="s">
        <v>183</v>
      </c>
      <c r="C220" s="1"/>
      <c r="D220" s="1"/>
      <c r="E220" s="1"/>
      <c r="F220" s="1"/>
      <c r="G220" s="1"/>
      <c r="H220" s="1"/>
      <c r="I220" s="1"/>
      <c r="J220" s="1"/>
      <c r="K220" s="276" t="s">
        <v>121</v>
      </c>
      <c r="L220" s="1"/>
      <c r="M220" s="1"/>
      <c r="N220" s="1"/>
      <c r="O220" s="330" t="s">
        <v>122</v>
      </c>
      <c r="P220" s="22"/>
    </row>
    <row r="221" spans="1:17" ht="15" customHeight="1" x14ac:dyDescent="0.2">
      <c r="A221" s="274"/>
      <c r="B221" s="275" t="str">
        <f>B9</f>
        <v xml:space="preserve"> 3075</v>
      </c>
      <c r="C221" s="1"/>
      <c r="D221" s="1"/>
      <c r="E221" s="1"/>
      <c r="F221" s="1"/>
      <c r="G221" s="1"/>
      <c r="H221" s="1"/>
      <c r="I221" s="1"/>
      <c r="J221" s="1"/>
      <c r="K221" s="276"/>
      <c r="L221" s="1"/>
      <c r="M221" s="1"/>
      <c r="N221" s="1"/>
      <c r="O221" s="330"/>
      <c r="P221" s="22"/>
    </row>
    <row r="222" spans="1:17" ht="15" customHeight="1" x14ac:dyDescent="0.2">
      <c r="A222" s="274"/>
      <c r="B222" s="275" t="str">
        <f>B10</f>
        <v xml:space="preserve"> 17 XCF 450</v>
      </c>
      <c r="C222" s="1"/>
      <c r="D222" s="1" t="str">
        <f>B5</f>
        <v xml:space="preserve">  We will use the exact spring rate from the test because a good test should have decent r-zeta and r/c ratio.</v>
      </c>
      <c r="E222" s="1"/>
      <c r="F222" s="1"/>
      <c r="G222" s="1"/>
      <c r="H222" s="1"/>
      <c r="I222" s="1"/>
      <c r="J222" s="1"/>
      <c r="K222" s="276"/>
      <c r="L222" s="1"/>
      <c r="M222" s="1"/>
      <c r="N222" s="1"/>
      <c r="O222" s="330"/>
      <c r="P222" s="22"/>
    </row>
    <row r="223" spans="1:17" ht="15" customHeight="1" x14ac:dyDescent="0.2">
      <c r="A223" s="274"/>
      <c r="B223" s="275" t="str">
        <f>B11</f>
        <v xml:space="preserve"> Mike Kirsch</v>
      </c>
      <c r="C223" s="1"/>
      <c r="D223" s="1" t="str">
        <f>B6</f>
        <v xml:space="preserve">  We are removing calc gas (73c and 69c) and displaying linear gas force (77 lbs and 73 lbs) for 12sxf450-psh and 16sxf250-psh respectively.</v>
      </c>
      <c r="E223" s="1"/>
      <c r="F223" s="1"/>
      <c r="G223" s="1"/>
      <c r="H223" s="1"/>
      <c r="I223" s="1"/>
      <c r="J223" s="1"/>
      <c r="K223" s="276"/>
      <c r="L223" s="1"/>
      <c r="M223" s="1"/>
      <c r="N223" s="1"/>
      <c r="O223" s="330"/>
      <c r="P223" s="22"/>
    </row>
    <row r="224" spans="1:17" ht="15" customHeight="1" x14ac:dyDescent="0.2">
      <c r="A224" s="274"/>
      <c r="B224" s="275" t="str">
        <f>B12</f>
        <v xml:space="preserve"> 12sxf450-psh</v>
      </c>
      <c r="C224" s="1"/>
      <c r="D224" s="1"/>
      <c r="E224" s="1"/>
      <c r="F224" s="1"/>
      <c r="G224" s="1"/>
      <c r="H224" s="1"/>
      <c r="I224" s="1"/>
      <c r="J224" s="1"/>
      <c r="K224" s="276"/>
      <c r="L224" s="1"/>
      <c r="M224" s="1"/>
      <c r="N224" s="1"/>
      <c r="O224" s="330"/>
      <c r="P224" s="22"/>
    </row>
    <row r="225" spans="1:16" ht="15" customHeight="1" x14ac:dyDescent="0.2">
      <c r="A225" s="35"/>
      <c r="B225" s="275" t="str">
        <f>B13</f>
        <v xml:space="preserve"> TRENDLINE</v>
      </c>
      <c r="C225" s="1"/>
      <c r="D225" s="1"/>
      <c r="E225" s="1"/>
      <c r="F225" s="1"/>
      <c r="G225" s="1"/>
      <c r="H225" s="1"/>
      <c r="I225" s="1"/>
      <c r="J225" s="1"/>
      <c r="K225" s="276"/>
      <c r="L225" s="1"/>
      <c r="M225" s="1"/>
      <c r="N225" s="1"/>
      <c r="O225" s="330"/>
      <c r="P225" s="22"/>
    </row>
    <row r="226" spans="1:16" ht="15" customHeight="1" x14ac:dyDescent="0.2">
      <c r="A226" s="35"/>
      <c r="B226" s="275"/>
      <c r="C226" s="1"/>
      <c r="D226" s="1"/>
      <c r="E226" s="1"/>
      <c r="F226" s="1"/>
      <c r="G226" s="1"/>
      <c r="H226" s="1"/>
      <c r="I226" s="1"/>
      <c r="J226" s="1"/>
      <c r="K226" s="1"/>
      <c r="L226" s="1"/>
      <c r="M226" s="1"/>
      <c r="N226" s="1"/>
      <c r="O226" s="1"/>
      <c r="P226" s="22"/>
    </row>
    <row r="227" spans="1:16" ht="15" customHeight="1" x14ac:dyDescent="0.2">
      <c r="A227" s="11"/>
      <c r="B227" s="279" t="s">
        <v>184</v>
      </c>
      <c r="C227" s="275"/>
      <c r="D227" s="1"/>
      <c r="E227" s="1"/>
      <c r="F227" s="1"/>
      <c r="G227" s="1"/>
      <c r="H227" s="1"/>
      <c r="I227" s="1"/>
      <c r="J227" s="1"/>
      <c r="K227" s="1"/>
      <c r="L227" s="1"/>
      <c r="M227" s="1"/>
      <c r="N227" s="1"/>
      <c r="O227" s="1"/>
      <c r="P227" s="22"/>
    </row>
    <row r="228" spans="1:16" ht="15" customHeight="1" x14ac:dyDescent="0.2">
      <c r="A228" s="35"/>
      <c r="B228" s="1"/>
      <c r="C228" s="1"/>
      <c r="D228" s="1"/>
      <c r="E228" s="1"/>
      <c r="F228" s="1"/>
      <c r="G228" s="1"/>
      <c r="H228" s="101" t="str">
        <f>J99</f>
        <v xml:space="preserve"> average</v>
      </c>
      <c r="I228" s="1"/>
      <c r="J228" s="1"/>
      <c r="K228" s="1"/>
      <c r="L228" s="1"/>
      <c r="M228" s="1"/>
      <c r="N228" s="1"/>
      <c r="O228" s="1"/>
      <c r="P228" s="22"/>
    </row>
    <row r="229" spans="1:16" ht="15" customHeight="1" x14ac:dyDescent="0.2">
      <c r="A229" s="300" t="s">
        <v>151</v>
      </c>
      <c r="B229" s="366">
        <f>D150</f>
        <v>5</v>
      </c>
      <c r="C229" s="101" t="s">
        <v>56</v>
      </c>
      <c r="D229" s="89" t="s">
        <v>56</v>
      </c>
      <c r="E229" s="91" t="s">
        <v>56</v>
      </c>
      <c r="F229" s="193" t="s">
        <v>33</v>
      </c>
      <c r="G229" s="199" t="s">
        <v>56</v>
      </c>
      <c r="H229" s="101" t="s">
        <v>47</v>
      </c>
      <c r="I229" s="101" t="s">
        <v>22</v>
      </c>
      <c r="J229" s="101" t="s">
        <v>22</v>
      </c>
      <c r="K229" s="200" t="s">
        <v>47</v>
      </c>
      <c r="L229" s="103" t="s">
        <v>40</v>
      </c>
      <c r="M229" s="103" t="s">
        <v>33</v>
      </c>
      <c r="N229" s="103" t="s">
        <v>35</v>
      </c>
      <c r="O229" s="1"/>
      <c r="P229" s="103" t="s">
        <v>40</v>
      </c>
    </row>
    <row r="230" spans="1:16" ht="15" customHeight="1" x14ac:dyDescent="0.2">
      <c r="A230" s="35"/>
      <c r="B230" s="107"/>
      <c r="C230" s="187" t="s">
        <v>40</v>
      </c>
      <c r="D230" s="185" t="s">
        <v>41</v>
      </c>
      <c r="E230" s="117" t="s">
        <v>32</v>
      </c>
      <c r="F230" s="194" t="s">
        <v>50</v>
      </c>
      <c r="G230" s="104" t="s">
        <v>33</v>
      </c>
      <c r="H230" s="102" t="s">
        <v>35</v>
      </c>
      <c r="I230" s="102" t="s">
        <v>37</v>
      </c>
      <c r="J230" s="102" t="s">
        <v>38</v>
      </c>
      <c r="K230" s="201" t="s">
        <v>28</v>
      </c>
      <c r="L230" s="104" t="s">
        <v>39</v>
      </c>
      <c r="M230" s="104" t="s">
        <v>39</v>
      </c>
      <c r="N230" s="104" t="s">
        <v>39</v>
      </c>
      <c r="O230" s="1"/>
      <c r="P230" s="104" t="s">
        <v>39</v>
      </c>
    </row>
    <row r="231" spans="1:16" ht="15" customHeight="1" x14ac:dyDescent="0.2">
      <c r="A231" s="35"/>
      <c r="B231" s="107" t="s">
        <v>21</v>
      </c>
      <c r="C231" s="188" t="s">
        <v>53</v>
      </c>
      <c r="D231" s="186" t="s">
        <v>53</v>
      </c>
      <c r="E231" s="113" t="s">
        <v>53</v>
      </c>
      <c r="F231" s="195" t="s">
        <v>54</v>
      </c>
      <c r="G231" s="188" t="s">
        <v>53</v>
      </c>
      <c r="H231" s="188" t="s">
        <v>53</v>
      </c>
      <c r="I231" s="188" t="s">
        <v>53</v>
      </c>
      <c r="J231" s="188" t="s">
        <v>53</v>
      </c>
      <c r="K231" s="202" t="s">
        <v>118</v>
      </c>
      <c r="L231" s="188" t="s">
        <v>53</v>
      </c>
      <c r="M231" s="188" t="s">
        <v>53</v>
      </c>
      <c r="N231" s="188" t="s">
        <v>53</v>
      </c>
      <c r="O231" s="1"/>
      <c r="P231" s="104" t="s">
        <v>51</v>
      </c>
    </row>
    <row r="232" spans="1:16" ht="15" customHeight="1" x14ac:dyDescent="0.2">
      <c r="A232" s="35"/>
      <c r="B232" s="107">
        <v>1</v>
      </c>
      <c r="C232" s="189">
        <f t="shared" ref="C232:C241" si="51">C129</f>
        <v>43.62272832324318</v>
      </c>
      <c r="D232" s="222">
        <f t="shared" ref="D232:E232" si="52">D129</f>
        <v>116.62272832324318</v>
      </c>
      <c r="E232" s="196">
        <f t="shared" si="52"/>
        <v>22.822728323243179</v>
      </c>
      <c r="F232" s="196">
        <f>G232+J232</f>
        <v>35.508728323243176</v>
      </c>
      <c r="G232" s="189">
        <f t="shared" ref="G232:H241" si="53">F129</f>
        <v>22.508728323243179</v>
      </c>
      <c r="H232" s="225">
        <f t="shared" si="53"/>
        <v>0.314</v>
      </c>
      <c r="I232" s="229">
        <f>M129</f>
        <v>77</v>
      </c>
      <c r="J232" s="229">
        <f t="shared" ref="J232:J241" si="54">L129</f>
        <v>13</v>
      </c>
      <c r="K232" s="294">
        <f>H232/E232</f>
        <v>1.3758214861639279E-2</v>
      </c>
      <c r="L232" s="233">
        <f t="shared" ref="L232:L241" si="55">F149</f>
        <v>1.1297647051527779</v>
      </c>
      <c r="M232" s="233">
        <f t="shared" ref="M232:M241" si="56">H171</f>
        <v>0.58292936970756293</v>
      </c>
      <c r="N232" s="233">
        <f t="shared" ref="N232:N241" si="57">H201</f>
        <v>8.1319486138700433E-3</v>
      </c>
      <c r="O232" s="1"/>
      <c r="P232" s="237">
        <f>L232</f>
        <v>1.1297647051527779</v>
      </c>
    </row>
    <row r="233" spans="1:16" ht="15" customHeight="1" x14ac:dyDescent="0.2">
      <c r="A233" s="35"/>
      <c r="B233" s="107">
        <v>2</v>
      </c>
      <c r="C233" s="190">
        <f t="shared" si="51"/>
        <v>66.08944469615048</v>
      </c>
      <c r="D233" s="223">
        <f t="shared" ref="D233:E241" si="58">D130</f>
        <v>139.08944469615048</v>
      </c>
      <c r="E233" s="197">
        <f t="shared" si="58"/>
        <v>45.589444696150473</v>
      </c>
      <c r="F233" s="197">
        <f t="shared" ref="F233:F241" si="59">G233+J233</f>
        <v>57.221444696150471</v>
      </c>
      <c r="G233" s="190">
        <f t="shared" si="53"/>
        <v>44.221444696150471</v>
      </c>
      <c r="H233" s="226">
        <f t="shared" si="53"/>
        <v>1.3680000000000001</v>
      </c>
      <c r="I233" s="230">
        <f t="shared" ref="I233:I241" si="60">M130</f>
        <v>77</v>
      </c>
      <c r="J233" s="230">
        <f t="shared" si="54"/>
        <v>13</v>
      </c>
      <c r="K233" s="295">
        <f t="shared" ref="K233:K241" si="61">H233/E233</f>
        <v>3.0006945886654167E-2</v>
      </c>
      <c r="L233" s="234">
        <f t="shared" si="55"/>
        <v>0.85580944407781101</v>
      </c>
      <c r="M233" s="234">
        <f t="shared" si="56"/>
        <v>0.57262184060540067</v>
      </c>
      <c r="N233" s="234">
        <f t="shared" si="57"/>
        <v>1.7714181056965317E-2</v>
      </c>
      <c r="O233" s="1"/>
      <c r="P233" s="238">
        <f t="shared" ref="P233:P241" si="62">L233</f>
        <v>0.85580944407781101</v>
      </c>
    </row>
    <row r="234" spans="1:16" ht="15" customHeight="1" x14ac:dyDescent="0.2">
      <c r="A234" s="35"/>
      <c r="B234" s="107">
        <v>3</v>
      </c>
      <c r="C234" s="191">
        <f t="shared" si="51"/>
        <v>85.347428262465371</v>
      </c>
      <c r="D234" s="224">
        <f t="shared" si="58"/>
        <v>158.34742826246537</v>
      </c>
      <c r="E234" s="198">
        <f t="shared" si="58"/>
        <v>65.347428262465357</v>
      </c>
      <c r="F234" s="198">
        <f t="shared" si="59"/>
        <v>75.373428262465353</v>
      </c>
      <c r="G234" s="191">
        <f t="shared" si="53"/>
        <v>62.373428262465353</v>
      </c>
      <c r="H234" s="227">
        <f t="shared" si="53"/>
        <v>2.9740000000000002</v>
      </c>
      <c r="I234" s="231">
        <f t="shared" si="60"/>
        <v>77</v>
      </c>
      <c r="J234" s="231">
        <f t="shared" si="54"/>
        <v>13</v>
      </c>
      <c r="K234" s="296">
        <f t="shared" si="61"/>
        <v>4.5510589767282762E-2</v>
      </c>
      <c r="L234" s="235">
        <f t="shared" si="55"/>
        <v>0.7367901193085139</v>
      </c>
      <c r="M234" s="235">
        <f t="shared" si="56"/>
        <v>0.53844746656186593</v>
      </c>
      <c r="N234" s="235">
        <f t="shared" si="57"/>
        <v>2.5673476834022834E-2</v>
      </c>
      <c r="O234" s="1"/>
      <c r="P234" s="239">
        <f t="shared" si="62"/>
        <v>0.7367901193085139</v>
      </c>
    </row>
    <row r="235" spans="1:16" ht="15" customHeight="1" x14ac:dyDescent="0.2">
      <c r="A235" s="35"/>
      <c r="B235" s="107">
        <v>4</v>
      </c>
      <c r="C235" s="191">
        <f t="shared" si="51"/>
        <v>102.44451866351989</v>
      </c>
      <c r="D235" s="224">
        <f t="shared" si="58"/>
        <v>175.44451866351989</v>
      </c>
      <c r="E235" s="198">
        <f t="shared" si="58"/>
        <v>82.744518663519898</v>
      </c>
      <c r="F235" s="198">
        <f t="shared" si="59"/>
        <v>90.690518663519896</v>
      </c>
      <c r="G235" s="191">
        <f t="shared" si="53"/>
        <v>77.690518663519896</v>
      </c>
      <c r="H235" s="227">
        <f t="shared" si="53"/>
        <v>5.0540000000000003</v>
      </c>
      <c r="I235" s="231">
        <f t="shared" si="60"/>
        <v>77</v>
      </c>
      <c r="J235" s="231">
        <f t="shared" si="54"/>
        <v>13</v>
      </c>
      <c r="K235" s="296">
        <f t="shared" si="61"/>
        <v>6.1079574594566942E-2</v>
      </c>
      <c r="L235" s="235">
        <f t="shared" si="55"/>
        <v>0.66328903033900899</v>
      </c>
      <c r="M235" s="235">
        <f t="shared" si="56"/>
        <v>0.50300581652599952</v>
      </c>
      <c r="N235" s="235">
        <f t="shared" si="57"/>
        <v>3.2722028896894267E-2</v>
      </c>
      <c r="O235" s="1"/>
      <c r="P235" s="239">
        <f t="shared" si="62"/>
        <v>0.66328903033900899</v>
      </c>
    </row>
    <row r="236" spans="1:16" ht="15" customHeight="1" x14ac:dyDescent="0.2">
      <c r="A236" s="35"/>
      <c r="B236" s="107">
        <v>5</v>
      </c>
      <c r="C236" s="190">
        <f t="shared" si="51"/>
        <v>117.81555554064616</v>
      </c>
      <c r="D236" s="223">
        <f t="shared" si="58"/>
        <v>190.81555554064616</v>
      </c>
      <c r="E236" s="197">
        <f t="shared" si="58"/>
        <v>98.215555540646164</v>
      </c>
      <c r="F236" s="197">
        <f t="shared" si="59"/>
        <v>103.89855554064616</v>
      </c>
      <c r="G236" s="190">
        <f t="shared" si="53"/>
        <v>90.898555540646157</v>
      </c>
      <c r="H236" s="226">
        <f t="shared" si="53"/>
        <v>7.3170000000000002</v>
      </c>
      <c r="I236" s="230">
        <f t="shared" si="60"/>
        <v>77</v>
      </c>
      <c r="J236" s="230">
        <f t="shared" si="54"/>
        <v>13</v>
      </c>
      <c r="K236" s="295">
        <f t="shared" si="61"/>
        <v>7.4499400423101866E-2</v>
      </c>
      <c r="L236" s="234">
        <f t="shared" si="55"/>
        <v>0.61024747621497555</v>
      </c>
      <c r="M236" s="234">
        <f t="shared" si="56"/>
        <v>0.47081680428760936</v>
      </c>
      <c r="N236" s="234">
        <f t="shared" si="57"/>
        <v>3.7899024208717901E-2</v>
      </c>
      <c r="O236" s="1"/>
      <c r="P236" s="238">
        <f t="shared" si="62"/>
        <v>0.61024747621497555</v>
      </c>
    </row>
    <row r="237" spans="1:16" ht="15" customHeight="1" x14ac:dyDescent="0.2">
      <c r="A237" s="35"/>
      <c r="B237" s="107">
        <v>10</v>
      </c>
      <c r="C237" s="191">
        <f t="shared" si="51"/>
        <v>188.53851939984463</v>
      </c>
      <c r="D237" s="224">
        <f t="shared" si="58"/>
        <v>261.53851939984463</v>
      </c>
      <c r="E237" s="198">
        <f t="shared" si="58"/>
        <v>168.83851939984464</v>
      </c>
      <c r="F237" s="198">
        <f t="shared" si="59"/>
        <v>163.71151939984463</v>
      </c>
      <c r="G237" s="191">
        <f t="shared" si="53"/>
        <v>150.71151939984463</v>
      </c>
      <c r="H237" s="227">
        <f t="shared" si="53"/>
        <v>18.126999999999999</v>
      </c>
      <c r="I237" s="231">
        <f t="shared" si="60"/>
        <v>77</v>
      </c>
      <c r="J237" s="231">
        <f t="shared" si="54"/>
        <v>13</v>
      </c>
      <c r="K237" s="296">
        <f t="shared" si="61"/>
        <v>0.10736294101863984</v>
      </c>
      <c r="L237" s="235">
        <f t="shared" si="55"/>
        <v>0.48746862891300663</v>
      </c>
      <c r="M237" s="235">
        <f t="shared" si="56"/>
        <v>0.39031157047064163</v>
      </c>
      <c r="N237" s="235">
        <f t="shared" si="57"/>
        <v>4.6945169593510271E-2</v>
      </c>
      <c r="O237" s="1"/>
      <c r="P237" s="239">
        <f t="shared" si="62"/>
        <v>0.48746862891300663</v>
      </c>
    </row>
    <row r="238" spans="1:16" ht="15" customHeight="1" x14ac:dyDescent="0.2">
      <c r="A238" s="35"/>
      <c r="B238" s="107">
        <v>20</v>
      </c>
      <c r="C238" s="191">
        <f t="shared" si="51"/>
        <v>309.47014285714295</v>
      </c>
      <c r="D238" s="224">
        <f t="shared" si="58"/>
        <v>382.47014285714295</v>
      </c>
      <c r="E238" s="198">
        <f t="shared" si="58"/>
        <v>289.87014285714292</v>
      </c>
      <c r="F238" s="198">
        <f t="shared" si="59"/>
        <v>265.13714285714292</v>
      </c>
      <c r="G238" s="191">
        <f t="shared" si="53"/>
        <v>252.13714285714292</v>
      </c>
      <c r="H238" s="227">
        <f t="shared" si="53"/>
        <v>37.732999999999997</v>
      </c>
      <c r="I238" s="231">
        <f t="shared" si="60"/>
        <v>77</v>
      </c>
      <c r="J238" s="231">
        <f t="shared" si="54"/>
        <v>13</v>
      </c>
      <c r="K238" s="296">
        <f t="shared" si="61"/>
        <v>0.13017208198153751</v>
      </c>
      <c r="L238" s="235">
        <f t="shared" si="55"/>
        <v>0.40117024318423189</v>
      </c>
      <c r="M238" s="235">
        <f t="shared" si="56"/>
        <v>0.32649144735068414</v>
      </c>
      <c r="N238" s="235">
        <f t="shared" si="57"/>
        <v>4.8860321185853234E-2</v>
      </c>
      <c r="O238" s="1"/>
      <c r="P238" s="239">
        <f t="shared" si="62"/>
        <v>0.40117024318423189</v>
      </c>
    </row>
    <row r="239" spans="1:16" ht="15" customHeight="1" x14ac:dyDescent="0.2">
      <c r="A239" s="35"/>
      <c r="B239" s="107">
        <v>30</v>
      </c>
      <c r="C239" s="191">
        <f t="shared" si="51"/>
        <v>411.05328571428578</v>
      </c>
      <c r="D239" s="224">
        <f t="shared" si="58"/>
        <v>484.05328571428578</v>
      </c>
      <c r="E239" s="198">
        <f t="shared" si="58"/>
        <v>391.05328571428578</v>
      </c>
      <c r="F239" s="198">
        <f t="shared" si="59"/>
        <v>353.1942857142858</v>
      </c>
      <c r="G239" s="191">
        <f t="shared" si="53"/>
        <v>340.1942857142858</v>
      </c>
      <c r="H239" s="227">
        <f t="shared" si="53"/>
        <v>50.859000000000002</v>
      </c>
      <c r="I239" s="231">
        <f t="shared" si="60"/>
        <v>77</v>
      </c>
      <c r="J239" s="231">
        <f t="shared" si="54"/>
        <v>13</v>
      </c>
      <c r="K239" s="296">
        <f t="shared" si="61"/>
        <v>0.13005644462775076</v>
      </c>
      <c r="L239" s="235">
        <f t="shared" si="55"/>
        <v>0.35493658183304655</v>
      </c>
      <c r="M239" s="235">
        <f t="shared" si="56"/>
        <v>0.29367754247991462</v>
      </c>
      <c r="N239" s="235">
        <f t="shared" si="57"/>
        <v>4.3904753137241667E-2</v>
      </c>
      <c r="O239" s="1"/>
      <c r="P239" s="239">
        <f t="shared" si="62"/>
        <v>0.35493658183304655</v>
      </c>
    </row>
    <row r="240" spans="1:16" ht="15" customHeight="1" x14ac:dyDescent="0.2">
      <c r="A240" s="35"/>
      <c r="B240" s="107">
        <v>40</v>
      </c>
      <c r="C240" s="191">
        <f t="shared" si="51"/>
        <v>504.20414285714276</v>
      </c>
      <c r="D240" s="224">
        <f t="shared" si="58"/>
        <v>577.20414285714276</v>
      </c>
      <c r="E240" s="198">
        <f t="shared" si="58"/>
        <v>483.10414285714279</v>
      </c>
      <c r="F240" s="198">
        <f t="shared" si="59"/>
        <v>433.33714285714279</v>
      </c>
      <c r="G240" s="191">
        <f t="shared" si="53"/>
        <v>420.33714285714279</v>
      </c>
      <c r="H240" s="227">
        <f t="shared" si="53"/>
        <v>62.767000000000003</v>
      </c>
      <c r="I240" s="231">
        <f t="shared" si="60"/>
        <v>78</v>
      </c>
      <c r="J240" s="231">
        <f t="shared" si="54"/>
        <v>13</v>
      </c>
      <c r="K240" s="296">
        <f t="shared" si="61"/>
        <v>0.12992436709150854</v>
      </c>
      <c r="L240" s="235">
        <f t="shared" si="55"/>
        <v>0.32621271751384867</v>
      </c>
      <c r="M240" s="235">
        <f t="shared" si="56"/>
        <v>0.27214650049484373</v>
      </c>
      <c r="N240" s="235">
        <f t="shared" si="57"/>
        <v>4.0638377280794662E-2</v>
      </c>
      <c r="O240" s="1"/>
      <c r="P240" s="239">
        <f t="shared" si="62"/>
        <v>0.32621271751384867</v>
      </c>
    </row>
    <row r="241" spans="1:16" ht="15" customHeight="1" x14ac:dyDescent="0.2">
      <c r="A241" s="35"/>
      <c r="B241" s="107">
        <v>50</v>
      </c>
      <c r="C241" s="192">
        <f t="shared" si="51"/>
        <v>595.13171428571422</v>
      </c>
      <c r="D241" s="223">
        <f t="shared" si="58"/>
        <v>668.13171428571422</v>
      </c>
      <c r="E241" s="197">
        <f t="shared" si="58"/>
        <v>572.43171428571418</v>
      </c>
      <c r="F241" s="197">
        <f t="shared" si="59"/>
        <v>511.01571428571424</v>
      </c>
      <c r="G241" s="192">
        <f t="shared" si="53"/>
        <v>498.01571428571424</v>
      </c>
      <c r="H241" s="228">
        <f t="shared" si="53"/>
        <v>74.415999999999997</v>
      </c>
      <c r="I241" s="232">
        <f t="shared" si="60"/>
        <v>79</v>
      </c>
      <c r="J241" s="232">
        <f t="shared" si="54"/>
        <v>13</v>
      </c>
      <c r="K241" s="297">
        <f t="shared" si="61"/>
        <v>0.12999978537677109</v>
      </c>
      <c r="L241" s="236">
        <f t="shared" si="55"/>
        <v>0.30821128420397603</v>
      </c>
      <c r="M241" s="236">
        <f t="shared" si="56"/>
        <v>0.25795147754593717</v>
      </c>
      <c r="N241" s="236">
        <f t="shared" si="57"/>
        <v>3.8544400512723127E-2</v>
      </c>
      <c r="O241" s="1"/>
      <c r="P241" s="240">
        <f t="shared" si="62"/>
        <v>0.30821128420397603</v>
      </c>
    </row>
    <row r="242" spans="1:16" ht="15" customHeight="1" x14ac:dyDescent="0.2">
      <c r="A242" s="35"/>
      <c r="B242" s="1"/>
      <c r="C242" s="1"/>
      <c r="D242" s="1"/>
      <c r="E242" s="1"/>
      <c r="F242" s="1"/>
      <c r="G242" s="1"/>
      <c r="H242" s="1"/>
      <c r="I242" s="1"/>
      <c r="J242" s="1"/>
      <c r="K242" s="1"/>
      <c r="L242" s="1"/>
      <c r="M242" s="1"/>
      <c r="N242" s="1"/>
      <c r="O242" s="1"/>
      <c r="P242" s="22"/>
    </row>
    <row r="243" spans="1:16" ht="15" customHeight="1" x14ac:dyDescent="0.2">
      <c r="A243" s="35"/>
      <c r="B243" s="1"/>
      <c r="C243" s="1"/>
      <c r="D243" s="1"/>
      <c r="E243" s="1"/>
      <c r="F243" s="1"/>
      <c r="G243" s="1"/>
      <c r="H243" s="1"/>
      <c r="I243" s="1"/>
      <c r="J243" s="1"/>
      <c r="K243" s="1"/>
      <c r="L243" s="278" t="s">
        <v>133</v>
      </c>
      <c r="M243" s="281" t="s">
        <v>198</v>
      </c>
      <c r="N243" s="1"/>
      <c r="O243" s="1"/>
      <c r="P243" s="22"/>
    </row>
    <row r="244" spans="1:16" ht="15" customHeight="1" x14ac:dyDescent="0.2">
      <c r="A244" s="35"/>
      <c r="B244" s="1"/>
      <c r="C244" s="1"/>
      <c r="D244" s="1"/>
      <c r="E244" s="1"/>
      <c r="F244" s="1"/>
      <c r="G244" s="1"/>
      <c r="H244" s="1"/>
      <c r="I244" s="1"/>
      <c r="J244" s="1"/>
      <c r="K244" s="1"/>
      <c r="L244" s="1"/>
      <c r="M244" s="1"/>
      <c r="N244" s="1"/>
      <c r="O244" s="1"/>
      <c r="P244" s="22"/>
    </row>
    <row r="245" spans="1:16" ht="15" customHeight="1" x14ac:dyDescent="0.2">
      <c r="A245" s="35"/>
      <c r="B245" s="1"/>
      <c r="C245" s="1"/>
      <c r="D245" s="1"/>
      <c r="E245" s="1"/>
      <c r="F245" s="1"/>
      <c r="G245" s="1"/>
      <c r="H245" s="1"/>
      <c r="I245" s="1"/>
      <c r="J245" s="1"/>
      <c r="K245" s="1"/>
      <c r="L245" s="1"/>
      <c r="M245" s="280"/>
      <c r="N245" s="1"/>
      <c r="O245" s="1"/>
      <c r="P245" s="22"/>
    </row>
    <row r="246" spans="1:16" ht="15" customHeight="1" x14ac:dyDescent="0.2">
      <c r="A246" s="36"/>
      <c r="B246" s="24"/>
      <c r="C246" s="24"/>
      <c r="D246" s="24"/>
      <c r="E246" s="24"/>
      <c r="F246" s="24"/>
      <c r="G246" s="24"/>
      <c r="H246" s="24"/>
      <c r="I246" s="24"/>
      <c r="J246" s="24"/>
      <c r="K246" s="24"/>
      <c r="L246" s="24"/>
      <c r="M246" s="24"/>
      <c r="N246" s="24"/>
      <c r="O246" s="24"/>
      <c r="P246" s="17"/>
    </row>
    <row r="247" spans="1:16" ht="15" customHeight="1" x14ac:dyDescent="0.2"/>
    <row r="248" spans="1:16" ht="15" customHeight="1" x14ac:dyDescent="0.2"/>
    <row r="249" spans="1:16" ht="15" customHeight="1" x14ac:dyDescent="0.2"/>
    <row r="250" spans="1:16" ht="15" customHeight="1" x14ac:dyDescent="0.2"/>
    <row r="251" spans="1:16" ht="15" customHeight="1" x14ac:dyDescent="0.2"/>
    <row r="252" spans="1:16" ht="15" customHeight="1" x14ac:dyDescent="0.2"/>
    <row r="253" spans="1:16" ht="15" customHeight="1" x14ac:dyDescent="0.2"/>
    <row r="254" spans="1:16" ht="15" customHeight="1" x14ac:dyDescent="0.2"/>
    <row r="255" spans="1:16" ht="15" customHeight="1" x14ac:dyDescent="0.2"/>
    <row r="256" spans="1:16" ht="15" customHeight="1" x14ac:dyDescent="0.2"/>
    <row r="257" spans="1:21" ht="15" customHeight="1" x14ac:dyDescent="0.2"/>
    <row r="258" spans="1:21" ht="15" customHeight="1" x14ac:dyDescent="0.2"/>
    <row r="259" spans="1:21" ht="15" customHeight="1" x14ac:dyDescent="0.2"/>
    <row r="260" spans="1:21" ht="15" customHeight="1" x14ac:dyDescent="0.2"/>
    <row r="261" spans="1:21" ht="15" customHeight="1" x14ac:dyDescent="0.2"/>
    <row r="262" spans="1:21" ht="15" customHeight="1" x14ac:dyDescent="0.2"/>
    <row r="263" spans="1:21" ht="15" customHeight="1" x14ac:dyDescent="0.2"/>
    <row r="264" spans="1:21" ht="15" customHeight="1" x14ac:dyDescent="0.2"/>
    <row r="265" spans="1:21" ht="15" customHeight="1" x14ac:dyDescent="0.2"/>
    <row r="266" spans="1:21" ht="1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row>
    <row r="267" spans="1:21" ht="15" customHeight="1" x14ac:dyDescent="0.2"/>
    <row r="268" spans="1:21" ht="15" customHeight="1" x14ac:dyDescent="0.2"/>
    <row r="269" spans="1:21" ht="15" customHeight="1" x14ac:dyDescent="0.2"/>
    <row r="270" spans="1:21" ht="15" customHeight="1" x14ac:dyDescent="0.2"/>
    <row r="271" spans="1:21" ht="15" customHeight="1" x14ac:dyDescent="0.2"/>
    <row r="272" spans="1:21"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sheetData>
  <pageMargins left="0.2" right="0.2" top="0.5" bottom="0.5" header="0.3" footer="0.3"/>
  <pageSetup scale="81"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2">
    <tabColor theme="8" tint="0.79998168889431442"/>
    <pageSetUpPr fitToPage="1"/>
  </sheetPr>
  <dimension ref="A1:AC340"/>
  <sheetViews>
    <sheetView showGridLines="0" zoomScale="86" zoomScaleNormal="86"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29" ht="15" customHeight="1" x14ac:dyDescent="0.2">
      <c r="K1" t="s">
        <v>26</v>
      </c>
      <c r="P1" s="28" t="s">
        <v>362</v>
      </c>
    </row>
    <row r="2" spans="1:29" ht="15" customHeight="1" x14ac:dyDescent="0.2">
      <c r="A2" s="343" t="s">
        <v>306</v>
      </c>
      <c r="B2" s="331" t="s">
        <v>185</v>
      </c>
      <c r="C2" s="332"/>
      <c r="D2" s="332"/>
      <c r="E2" s="332"/>
      <c r="F2" s="332"/>
    </row>
    <row r="3" spans="1:29" ht="15" customHeight="1" x14ac:dyDescent="0.2">
      <c r="A3" s="332"/>
      <c r="B3" s="348" t="s">
        <v>292</v>
      </c>
      <c r="C3" s="332"/>
      <c r="D3" s="332"/>
      <c r="E3" s="332"/>
      <c r="F3" s="332"/>
    </row>
    <row r="4" spans="1:29" ht="15" customHeight="1" x14ac:dyDescent="0.2">
      <c r="A4" s="332"/>
      <c r="B4" s="348" t="s">
        <v>307</v>
      </c>
      <c r="C4" s="332"/>
      <c r="D4" s="332"/>
      <c r="E4" s="332"/>
      <c r="F4" s="332"/>
      <c r="G4" s="332"/>
    </row>
    <row r="5" spans="1:29" ht="15" customHeight="1" x14ac:dyDescent="0.2">
      <c r="A5" s="332" t="s">
        <v>335</v>
      </c>
      <c r="B5" s="331" t="s">
        <v>186</v>
      </c>
      <c r="C5" s="332"/>
      <c r="D5" s="332"/>
      <c r="E5" s="332"/>
      <c r="F5" s="332"/>
      <c r="G5" s="332"/>
    </row>
    <row r="6" spans="1:29" ht="15" customHeight="1" x14ac:dyDescent="0.2">
      <c r="A6" s="332" t="s">
        <v>335</v>
      </c>
      <c r="B6" s="331" t="s">
        <v>196</v>
      </c>
      <c r="C6" s="332"/>
      <c r="D6" s="332"/>
      <c r="E6" s="332"/>
      <c r="F6" s="332"/>
    </row>
    <row r="7" spans="1:29" ht="15" customHeight="1" x14ac:dyDescent="0.2">
      <c r="A7" s="332"/>
      <c r="B7" s="332"/>
      <c r="C7" s="332"/>
      <c r="D7" s="332"/>
      <c r="E7" s="332"/>
      <c r="F7" s="332"/>
      <c r="P7" s="210" t="s">
        <v>106</v>
      </c>
      <c r="Q7" s="210" t="s">
        <v>107</v>
      </c>
    </row>
    <row r="8" spans="1:29"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29" ht="15" customHeight="1" x14ac:dyDescent="0.2">
      <c r="A9" t="s">
        <v>182</v>
      </c>
      <c r="B9" s="473" t="s">
        <v>324</v>
      </c>
      <c r="C9" s="474"/>
      <c r="D9" s="475"/>
      <c r="E9" s="158"/>
      <c r="F9" s="158"/>
      <c r="G9" s="158"/>
      <c r="H9" s="158"/>
      <c r="I9" s="158"/>
      <c r="J9" s="158"/>
      <c r="K9" s="158"/>
      <c r="L9" s="158"/>
      <c r="O9" s="212" t="s">
        <v>110</v>
      </c>
      <c r="P9" s="213">
        <v>73</v>
      </c>
      <c r="Q9" s="213">
        <v>69</v>
      </c>
      <c r="Y9" s="349"/>
      <c r="Z9" s="349"/>
      <c r="AA9" s="349"/>
      <c r="AB9" s="349"/>
      <c r="AC9" s="349"/>
    </row>
    <row r="10" spans="1:29" ht="15" customHeight="1" x14ac:dyDescent="0.2">
      <c r="A10" t="s">
        <v>182</v>
      </c>
      <c r="B10" s="476" t="s">
        <v>325</v>
      </c>
      <c r="C10" s="440"/>
      <c r="D10" s="477"/>
      <c r="E10" s="158" t="s">
        <v>305</v>
      </c>
      <c r="F10" s="158"/>
      <c r="G10" s="158"/>
      <c r="H10" s="158"/>
      <c r="I10" s="158"/>
      <c r="J10" s="158"/>
      <c r="K10" s="158"/>
      <c r="L10" s="158"/>
      <c r="O10" s="211" t="s">
        <v>109</v>
      </c>
      <c r="P10">
        <f>P8-P9</f>
        <v>4</v>
      </c>
      <c r="Q10">
        <f>Q8-Q9</f>
        <v>4</v>
      </c>
      <c r="Y10" s="349"/>
      <c r="Z10" s="349"/>
      <c r="AA10" s="349"/>
      <c r="AB10" s="349"/>
      <c r="AC10" s="349"/>
    </row>
    <row r="11" spans="1:29" ht="15" customHeight="1" x14ac:dyDescent="0.2">
      <c r="A11" t="s">
        <v>182</v>
      </c>
      <c r="B11" s="476" t="s">
        <v>326</v>
      </c>
      <c r="C11" s="440"/>
      <c r="D11" s="477"/>
      <c r="E11" s="158"/>
      <c r="F11" s="158"/>
      <c r="G11" s="158"/>
      <c r="H11" s="158"/>
      <c r="I11" s="158"/>
      <c r="J11" s="158"/>
      <c r="K11" s="158"/>
      <c r="L11" s="158"/>
      <c r="Y11" s="349"/>
      <c r="Z11" s="349"/>
      <c r="AA11" s="349"/>
      <c r="AB11" s="349"/>
      <c r="AC11" s="349"/>
    </row>
    <row r="12" spans="1:29" ht="15" customHeight="1" x14ac:dyDescent="0.2">
      <c r="A12" t="s">
        <v>182</v>
      </c>
      <c r="B12" s="476" t="s">
        <v>106</v>
      </c>
      <c r="C12" s="440"/>
      <c r="D12" s="478" t="s">
        <v>334</v>
      </c>
      <c r="E12" s="158"/>
      <c r="F12" s="158"/>
      <c r="G12" s="158"/>
      <c r="H12" s="158"/>
      <c r="I12" s="158"/>
      <c r="J12" s="158"/>
      <c r="K12" s="158"/>
      <c r="L12" s="158"/>
      <c r="M12" s="41"/>
      <c r="Y12" s="349"/>
      <c r="Z12" s="349"/>
      <c r="AA12" s="349"/>
      <c r="AB12" s="349"/>
      <c r="AC12" s="349"/>
    </row>
    <row r="13" spans="1:29" ht="15" customHeight="1" thickBot="1" x14ac:dyDescent="0.25">
      <c r="A13" t="s">
        <v>182</v>
      </c>
      <c r="B13" s="479" t="s">
        <v>112</v>
      </c>
      <c r="C13" s="480" t="s">
        <v>331</v>
      </c>
      <c r="D13" s="481" t="s">
        <v>304</v>
      </c>
      <c r="E13" s="158" t="s">
        <v>276</v>
      </c>
      <c r="F13" s="158"/>
      <c r="G13" s="158"/>
      <c r="H13" s="158"/>
      <c r="I13" s="158"/>
      <c r="J13" s="158"/>
      <c r="K13" s="158"/>
      <c r="L13" s="158"/>
      <c r="M13" s="41"/>
      <c r="U13" s="90" t="s">
        <v>305</v>
      </c>
      <c r="Y13" s="349"/>
      <c r="Z13" s="349"/>
      <c r="AA13" s="349"/>
      <c r="AB13" s="349"/>
      <c r="AC13" s="349"/>
    </row>
    <row r="14" spans="1:29" ht="15" customHeight="1" thickBot="1" x14ac:dyDescent="0.25">
      <c r="A14" s="41"/>
      <c r="B14" s="209" t="s">
        <v>332</v>
      </c>
      <c r="C14" s="40"/>
      <c r="D14" s="40"/>
      <c r="E14" s="40"/>
      <c r="F14" s="40"/>
      <c r="G14" s="40"/>
      <c r="H14" s="40"/>
      <c r="I14" s="40"/>
      <c r="J14" s="40"/>
      <c r="K14" s="40"/>
      <c r="L14" s="40"/>
      <c r="M14" s="41"/>
      <c r="Y14" s="349"/>
      <c r="Z14" s="349"/>
      <c r="AA14" s="349"/>
      <c r="AB14" s="349"/>
      <c r="AC14" s="349"/>
    </row>
    <row r="15" spans="1:29" ht="15" customHeight="1" thickBot="1" x14ac:dyDescent="0.25">
      <c r="A15" s="41"/>
      <c r="B15" s="209" t="s">
        <v>371</v>
      </c>
      <c r="C15" s="40"/>
      <c r="D15" s="40"/>
      <c r="E15" s="40"/>
      <c r="F15" s="575" t="s">
        <v>424</v>
      </c>
      <c r="G15" s="576"/>
      <c r="H15" s="576"/>
      <c r="I15" s="576"/>
      <c r="J15" s="576"/>
      <c r="K15" s="577"/>
      <c r="L15" s="907" t="s">
        <v>679</v>
      </c>
      <c r="M15" s="41"/>
      <c r="U15" s="331" t="s">
        <v>294</v>
      </c>
      <c r="V15" s="332" t="s">
        <v>204</v>
      </c>
      <c r="W15" s="332"/>
      <c r="X15" s="349"/>
      <c r="Y15" s="349"/>
      <c r="Z15" s="349"/>
      <c r="AA15" s="349"/>
      <c r="AB15" s="349"/>
      <c r="AC15" s="349"/>
    </row>
    <row r="16" spans="1:29" ht="15" customHeight="1" x14ac:dyDescent="0.2">
      <c r="A16" s="41"/>
      <c r="B16" s="209"/>
      <c r="C16" s="40"/>
      <c r="D16" s="40"/>
      <c r="E16" s="40"/>
      <c r="F16" s="40"/>
      <c r="G16" s="40"/>
      <c r="H16" s="40"/>
      <c r="I16" s="40"/>
      <c r="J16" s="40"/>
      <c r="K16" s="40"/>
      <c r="L16" s="40"/>
      <c r="M16" s="41"/>
      <c r="U16" s="105" t="s">
        <v>44</v>
      </c>
      <c r="V16" s="332" t="s">
        <v>205</v>
      </c>
      <c r="W16" s="332"/>
      <c r="X16" s="349"/>
      <c r="Y16" s="349"/>
      <c r="Z16" s="349"/>
      <c r="AA16" s="349"/>
      <c r="AB16" s="349"/>
      <c r="AC16" s="349"/>
    </row>
    <row r="17" spans="1:29" ht="15" customHeight="1" x14ac:dyDescent="0.2">
      <c r="A17" s="41"/>
      <c r="B17" s="329"/>
      <c r="M17" s="41"/>
      <c r="U17" s="105" t="s">
        <v>45</v>
      </c>
      <c r="V17" s="343" t="s">
        <v>223</v>
      </c>
      <c r="W17" s="332"/>
      <c r="X17" s="349"/>
      <c r="Y17" s="349"/>
      <c r="Z17" s="349"/>
      <c r="AA17" s="349"/>
      <c r="AB17" s="349"/>
      <c r="AC17" s="349"/>
    </row>
    <row r="18" spans="1:29" ht="15" customHeight="1" x14ac:dyDescent="0.2">
      <c r="A18" s="41"/>
      <c r="B18" s="357" t="s">
        <v>375</v>
      </c>
      <c r="C18" s="40"/>
      <c r="D18" s="40"/>
      <c r="E18" s="40"/>
      <c r="F18" s="40"/>
      <c r="G18" s="40"/>
      <c r="H18" s="40"/>
      <c r="I18" s="40"/>
      <c r="J18" s="40"/>
      <c r="K18" s="40"/>
      <c r="L18" s="40"/>
      <c r="M18" s="41"/>
      <c r="U18" s="105" t="s">
        <v>48</v>
      </c>
      <c r="V18" s="343" t="s">
        <v>217</v>
      </c>
      <c r="W18" s="332"/>
      <c r="X18" s="349"/>
      <c r="Y18" s="349"/>
      <c r="Z18" s="349"/>
      <c r="AA18" s="349"/>
      <c r="AB18" s="349"/>
      <c r="AC18" s="349"/>
    </row>
    <row r="19" spans="1:29" ht="15" customHeight="1" x14ac:dyDescent="0.2">
      <c r="A19" s="41"/>
      <c r="B19" s="336" t="s">
        <v>315</v>
      </c>
      <c r="C19" s="415">
        <v>10</v>
      </c>
      <c r="D19" s="9"/>
      <c r="E19" s="9"/>
      <c r="F19" s="341"/>
      <c r="G19" s="40"/>
      <c r="H19" s="40"/>
      <c r="I19" s="40"/>
      <c r="J19" s="40"/>
      <c r="K19" s="40"/>
      <c r="L19" s="40"/>
      <c r="M19" s="41"/>
      <c r="U19" s="105" t="s">
        <v>75</v>
      </c>
      <c r="V19" s="343" t="s">
        <v>214</v>
      </c>
      <c r="W19" s="332"/>
      <c r="X19" s="349"/>
      <c r="Y19" s="349"/>
      <c r="Z19" s="349"/>
      <c r="AA19" s="349"/>
      <c r="AB19" s="349"/>
      <c r="AC19" s="349"/>
    </row>
    <row r="20" spans="1:29" ht="15" customHeight="1" x14ac:dyDescent="0.2">
      <c r="A20" s="41"/>
      <c r="B20" s="338"/>
      <c r="C20" s="335" t="str">
        <f>L243</f>
        <v xml:space="preserve">C-ZETA CURVE NAME  </v>
      </c>
      <c r="D20" s="40" t="str">
        <f>M243</f>
        <v>98_58_30_c</v>
      </c>
      <c r="E20" s="40"/>
      <c r="F20" s="339"/>
      <c r="G20" s="40"/>
      <c r="H20" s="40"/>
      <c r="I20" s="40"/>
      <c r="J20" s="40"/>
      <c r="K20" s="40"/>
      <c r="L20" s="40"/>
      <c r="M20" s="41"/>
      <c r="U20" s="105" t="s">
        <v>80</v>
      </c>
      <c r="V20" s="343" t="s">
        <v>293</v>
      </c>
      <c r="W20" s="332"/>
      <c r="X20" s="349"/>
      <c r="Y20" s="349"/>
      <c r="Z20" s="349"/>
      <c r="AA20" s="349"/>
      <c r="AB20" s="349"/>
      <c r="AC20" s="349"/>
    </row>
    <row r="21" spans="1:29" ht="15" customHeight="1" x14ac:dyDescent="0.2">
      <c r="B21" s="340" t="s">
        <v>302</v>
      </c>
      <c r="C21" s="24"/>
      <c r="D21" s="24"/>
      <c r="E21" s="24"/>
      <c r="F21" s="17"/>
      <c r="U21" s="105"/>
      <c r="V21" s="343" t="s">
        <v>224</v>
      </c>
      <c r="W21" s="332"/>
      <c r="X21" s="349"/>
      <c r="Y21" s="349"/>
      <c r="Z21" s="349"/>
      <c r="AA21" s="349"/>
      <c r="AB21" s="349"/>
      <c r="AC21" s="349"/>
    </row>
    <row r="22" spans="1:29" ht="15" customHeight="1" x14ac:dyDescent="0.2">
      <c r="A22" s="90" t="s">
        <v>44</v>
      </c>
      <c r="B22" s="64" t="s">
        <v>62</v>
      </c>
      <c r="U22" s="105"/>
      <c r="V22" s="332" t="s">
        <v>208</v>
      </c>
      <c r="W22" s="332"/>
      <c r="X22" s="349"/>
      <c r="Y22" s="349"/>
      <c r="Z22" s="349"/>
      <c r="AA22" s="349"/>
      <c r="AB22" s="349"/>
      <c r="AC22" s="349"/>
    </row>
    <row r="23" spans="1:29" ht="15" customHeight="1" x14ac:dyDescent="0.2">
      <c r="U23" s="105" t="s">
        <v>82</v>
      </c>
      <c r="V23" s="332" t="s">
        <v>209</v>
      </c>
      <c r="W23" s="332"/>
      <c r="X23" s="349"/>
      <c r="Y23" s="349"/>
      <c r="Z23" s="349"/>
      <c r="AA23" s="349"/>
      <c r="AB23" s="349"/>
      <c r="AC23" s="349"/>
    </row>
    <row r="24" spans="1:29" ht="15" customHeight="1" x14ac:dyDescent="0.2">
      <c r="B24" s="28" t="s">
        <v>63</v>
      </c>
      <c r="U24" s="105" t="s">
        <v>85</v>
      </c>
      <c r="V24" s="332" t="s">
        <v>210</v>
      </c>
      <c r="W24" s="332"/>
      <c r="X24" s="349"/>
      <c r="Y24" s="349"/>
      <c r="Z24" s="349"/>
      <c r="AA24" s="349"/>
      <c r="AB24" s="349"/>
      <c r="AC24" s="349"/>
    </row>
    <row r="25" spans="1:29" ht="15" customHeight="1" x14ac:dyDescent="0.2">
      <c r="B25" s="28" t="s">
        <v>127</v>
      </c>
      <c r="U25" s="105" t="s">
        <v>95</v>
      </c>
      <c r="V25" s="343" t="s">
        <v>211</v>
      </c>
      <c r="W25" s="332"/>
      <c r="X25" s="349"/>
      <c r="Y25" s="349"/>
      <c r="Z25" s="349"/>
      <c r="AA25" s="349"/>
      <c r="AB25" s="349"/>
      <c r="AC25" s="349"/>
    </row>
    <row r="26" spans="1:29" ht="15" customHeight="1" x14ac:dyDescent="0.2">
      <c r="I26" s="1"/>
      <c r="J26" s="1"/>
      <c r="U26" s="105" t="s">
        <v>98</v>
      </c>
      <c r="V26" s="343" t="s">
        <v>212</v>
      </c>
      <c r="W26" s="332"/>
      <c r="X26" s="349"/>
    </row>
    <row r="27" spans="1:29" ht="15" customHeight="1" x14ac:dyDescent="0.2">
      <c r="B27" s="67"/>
      <c r="C27" s="396" t="s">
        <v>28</v>
      </c>
      <c r="D27" s="396" t="s">
        <v>28</v>
      </c>
      <c r="E27" s="400" t="s">
        <v>28</v>
      </c>
      <c r="G27" s="382" t="s">
        <v>125</v>
      </c>
      <c r="I27" s="1"/>
      <c r="J27" s="1"/>
      <c r="U27" s="105"/>
      <c r="V27" s="332"/>
      <c r="W27" s="332"/>
      <c r="X27" s="349"/>
    </row>
    <row r="28" spans="1:29" ht="15" customHeight="1" x14ac:dyDescent="0.2">
      <c r="B28" s="67"/>
      <c r="C28" s="388" t="s">
        <v>260</v>
      </c>
      <c r="D28" s="388" t="s">
        <v>261</v>
      </c>
      <c r="E28" s="388" t="s">
        <v>31</v>
      </c>
      <c r="G28" s="383" t="s">
        <v>34</v>
      </c>
      <c r="U28" s="343" t="s">
        <v>226</v>
      </c>
      <c r="V28" s="332"/>
      <c r="W28" s="332"/>
      <c r="X28" s="349"/>
    </row>
    <row r="29" spans="1:29" ht="15" customHeight="1" x14ac:dyDescent="0.2">
      <c r="B29" s="68" t="s">
        <v>21</v>
      </c>
      <c r="C29" s="397" t="s">
        <v>29</v>
      </c>
      <c r="D29" s="397" t="s">
        <v>30</v>
      </c>
      <c r="E29" s="395" t="s">
        <v>74</v>
      </c>
      <c r="G29" s="383" t="s">
        <v>35</v>
      </c>
      <c r="U29" s="343" t="s">
        <v>295</v>
      </c>
      <c r="V29" s="332"/>
      <c r="W29" s="332"/>
      <c r="X29" s="349"/>
    </row>
    <row r="30" spans="1:29" ht="15" customHeight="1" x14ac:dyDescent="0.2">
      <c r="B30" s="68">
        <v>1</v>
      </c>
      <c r="C30" s="398">
        <v>2</v>
      </c>
      <c r="D30" s="398">
        <v>0.75</v>
      </c>
      <c r="E30" s="389">
        <f>SUM(C30:D30)/2</f>
        <v>1.375</v>
      </c>
      <c r="G30" s="384">
        <v>0</v>
      </c>
      <c r="I30" s="28" t="s">
        <v>284</v>
      </c>
      <c r="U30" s="350"/>
      <c r="V30" s="349"/>
      <c r="W30" s="349"/>
      <c r="X30" s="349"/>
    </row>
    <row r="31" spans="1:29" ht="15" customHeight="1" x14ac:dyDescent="0.2">
      <c r="B31" s="68">
        <v>2</v>
      </c>
      <c r="C31" s="398">
        <v>4</v>
      </c>
      <c r="D31" s="398">
        <v>2</v>
      </c>
      <c r="E31" s="389">
        <f t="shared" ref="E31:E39" si="0">SUM(C31:D31)/2</f>
        <v>3</v>
      </c>
      <c r="G31" s="385">
        <v>0.4</v>
      </c>
      <c r="I31" t="s">
        <v>283</v>
      </c>
      <c r="U31" s="350"/>
      <c r="V31" s="349"/>
      <c r="W31" s="349"/>
      <c r="X31" s="349"/>
    </row>
    <row r="32" spans="1:29" ht="15" customHeight="1" x14ac:dyDescent="0.2">
      <c r="B32" s="68">
        <v>3</v>
      </c>
      <c r="C32" s="398">
        <v>5.8</v>
      </c>
      <c r="D32" s="398">
        <v>3.3</v>
      </c>
      <c r="E32" s="389">
        <f t="shared" si="0"/>
        <v>4.55</v>
      </c>
      <c r="G32" s="386">
        <v>1.5</v>
      </c>
    </row>
    <row r="33" spans="1:8" ht="15" customHeight="1" x14ac:dyDescent="0.2">
      <c r="B33" s="68">
        <v>4</v>
      </c>
      <c r="C33" s="398">
        <v>7.51</v>
      </c>
      <c r="D33" s="398">
        <v>4.7</v>
      </c>
      <c r="E33" s="389">
        <f t="shared" si="0"/>
        <v>6.1050000000000004</v>
      </c>
      <c r="G33" s="386">
        <v>2.4</v>
      </c>
    </row>
    <row r="34" spans="1:8" ht="15" customHeight="1" x14ac:dyDescent="0.2">
      <c r="B34" s="68">
        <v>5</v>
      </c>
      <c r="C34" s="398">
        <v>9</v>
      </c>
      <c r="D34" s="398">
        <v>5.9</v>
      </c>
      <c r="E34" s="389">
        <f t="shared" si="0"/>
        <v>7.45</v>
      </c>
      <c r="G34" s="385">
        <v>4</v>
      </c>
    </row>
    <row r="35" spans="1:8" ht="15" customHeight="1" x14ac:dyDescent="0.2">
      <c r="B35" s="68">
        <v>10</v>
      </c>
      <c r="C35" s="398">
        <v>11.51</v>
      </c>
      <c r="D35" s="398">
        <v>10</v>
      </c>
      <c r="E35" s="389">
        <f t="shared" si="0"/>
        <v>10.754999999999999</v>
      </c>
      <c r="G35" s="386">
        <v>15</v>
      </c>
    </row>
    <row r="36" spans="1:8" ht="15" customHeight="1" x14ac:dyDescent="0.2">
      <c r="B36" s="68">
        <v>20</v>
      </c>
      <c r="C36" s="398">
        <v>13</v>
      </c>
      <c r="D36" s="398">
        <v>13</v>
      </c>
      <c r="E36" s="389">
        <f t="shared" si="0"/>
        <v>13</v>
      </c>
      <c r="G36" s="386">
        <v>41.9</v>
      </c>
    </row>
    <row r="37" spans="1:8" ht="15" customHeight="1" x14ac:dyDescent="0.2">
      <c r="B37" s="68">
        <v>30</v>
      </c>
      <c r="C37" s="398">
        <v>13</v>
      </c>
      <c r="D37" s="398">
        <v>13</v>
      </c>
      <c r="E37" s="389">
        <f t="shared" si="0"/>
        <v>13</v>
      </c>
      <c r="G37" s="386">
        <v>57.4</v>
      </c>
    </row>
    <row r="38" spans="1:8" ht="15" customHeight="1" x14ac:dyDescent="0.2">
      <c r="B38" s="68">
        <v>40</v>
      </c>
      <c r="C38" s="398">
        <v>13</v>
      </c>
      <c r="D38" s="398">
        <v>13</v>
      </c>
      <c r="E38" s="389">
        <f t="shared" si="0"/>
        <v>13</v>
      </c>
      <c r="G38" s="386">
        <v>69.5</v>
      </c>
      <c r="H38" s="1"/>
    </row>
    <row r="39" spans="1:8" ht="15" customHeight="1" x14ac:dyDescent="0.2">
      <c r="B39" s="68">
        <v>50</v>
      </c>
      <c r="C39" s="399">
        <v>13</v>
      </c>
      <c r="D39" s="399">
        <v>13</v>
      </c>
      <c r="E39" s="390">
        <f t="shared" si="0"/>
        <v>13</v>
      </c>
      <c r="G39" s="387">
        <v>81.400000000000006</v>
      </c>
    </row>
    <row r="40" spans="1:8" ht="15" customHeight="1" x14ac:dyDescent="0.2"/>
    <row r="41" spans="1:8" ht="15" customHeight="1" x14ac:dyDescent="0.2"/>
    <row r="42" spans="1:8" ht="15" customHeight="1" x14ac:dyDescent="0.2"/>
    <row r="43" spans="1:8" ht="15" customHeight="1" x14ac:dyDescent="0.2"/>
    <row r="44" spans="1:8" ht="15" customHeight="1" x14ac:dyDescent="0.2">
      <c r="A44" s="64" t="s">
        <v>45</v>
      </c>
      <c r="B44" s="64" t="s">
        <v>113</v>
      </c>
    </row>
    <row r="45" spans="1:8" ht="15" customHeight="1" x14ac:dyDescent="0.2">
      <c r="B45" s="90" t="s">
        <v>65</v>
      </c>
    </row>
    <row r="46" spans="1:8" ht="15" customHeight="1" x14ac:dyDescent="0.2">
      <c r="B46" s="90" t="s">
        <v>67</v>
      </c>
    </row>
    <row r="47" spans="1:8" ht="15" customHeight="1" x14ac:dyDescent="0.2"/>
    <row r="48" spans="1:8" ht="15" customHeight="1" x14ac:dyDescent="0.2">
      <c r="B48" s="117" t="s">
        <v>125</v>
      </c>
      <c r="C48" s="117"/>
      <c r="D48" s="117"/>
    </row>
    <row r="49" spans="2:4" ht="15" customHeight="1" x14ac:dyDescent="0.2">
      <c r="B49" s="117" t="s">
        <v>34</v>
      </c>
      <c r="C49" s="117"/>
      <c r="D49" s="117" t="s">
        <v>34</v>
      </c>
    </row>
    <row r="50" spans="2:4" ht="15" customHeight="1" x14ac:dyDescent="0.2">
      <c r="B50" s="117" t="s">
        <v>42</v>
      </c>
      <c r="C50" s="117"/>
      <c r="D50" s="117" t="s">
        <v>42</v>
      </c>
    </row>
    <row r="51" spans="2:4" ht="15" customHeight="1" x14ac:dyDescent="0.2">
      <c r="B51" s="117" t="s">
        <v>43</v>
      </c>
      <c r="C51" s="117" t="s">
        <v>21</v>
      </c>
      <c r="D51" s="117" t="s">
        <v>43</v>
      </c>
    </row>
    <row r="52" spans="2:4" ht="15" customHeight="1" x14ac:dyDescent="0.2">
      <c r="B52" s="247">
        <v>22.3</v>
      </c>
      <c r="C52" s="106">
        <v>1</v>
      </c>
      <c r="D52" s="109">
        <v>22.3</v>
      </c>
    </row>
    <row r="53" spans="2:4" ht="15" customHeight="1" x14ac:dyDescent="0.2">
      <c r="B53" s="248">
        <v>44.8</v>
      </c>
      <c r="C53" s="106">
        <v>2</v>
      </c>
      <c r="D53" s="110">
        <v>44.8</v>
      </c>
    </row>
    <row r="54" spans="2:4" ht="15" customHeight="1" x14ac:dyDescent="0.2">
      <c r="B54" s="43">
        <v>62</v>
      </c>
      <c r="C54" s="106">
        <v>3</v>
      </c>
      <c r="D54" s="105">
        <v>62</v>
      </c>
    </row>
    <row r="55" spans="2:4" ht="15" customHeight="1" x14ac:dyDescent="0.2">
      <c r="B55" s="43">
        <v>75.5</v>
      </c>
      <c r="C55" s="106">
        <v>4</v>
      </c>
      <c r="D55" s="128">
        <v>77.5</v>
      </c>
    </row>
    <row r="56" spans="2:4" ht="15" customHeight="1" x14ac:dyDescent="0.2">
      <c r="B56" s="248">
        <v>91.1</v>
      </c>
      <c r="C56" s="106">
        <v>5</v>
      </c>
      <c r="D56" s="110">
        <v>91.1</v>
      </c>
    </row>
    <row r="57" spans="2:4" ht="15" customHeight="1" x14ac:dyDescent="0.2">
      <c r="B57" s="43">
        <v>150.69999999999999</v>
      </c>
      <c r="C57" s="106">
        <v>10</v>
      </c>
      <c r="D57" s="105">
        <v>150.69999999999999</v>
      </c>
    </row>
    <row r="58" spans="2:4" ht="15" customHeight="1" x14ac:dyDescent="0.2">
      <c r="B58" s="43">
        <v>252.2</v>
      </c>
      <c r="C58" s="106">
        <v>20</v>
      </c>
      <c r="D58" s="105">
        <v>252.2</v>
      </c>
    </row>
    <row r="59" spans="2:4" ht="15" customHeight="1" x14ac:dyDescent="0.2">
      <c r="B59" s="43">
        <v>340.1</v>
      </c>
      <c r="C59" s="106">
        <v>30</v>
      </c>
      <c r="D59" s="105">
        <v>340.1</v>
      </c>
    </row>
    <row r="60" spans="2:4" ht="15" customHeight="1" x14ac:dyDescent="0.2">
      <c r="B60" s="43">
        <v>420.4</v>
      </c>
      <c r="C60" s="106">
        <v>40</v>
      </c>
      <c r="D60" s="105">
        <v>420.4</v>
      </c>
    </row>
    <row r="61" spans="2:4" ht="15" customHeight="1" x14ac:dyDescent="0.2">
      <c r="B61" s="248">
        <v>498</v>
      </c>
      <c r="C61" s="106">
        <v>50</v>
      </c>
      <c r="D61" s="110">
        <v>498</v>
      </c>
    </row>
    <row r="62" spans="2:4" ht="15" customHeight="1" x14ac:dyDescent="0.2"/>
    <row r="63" spans="2:4" ht="15" customHeight="1" x14ac:dyDescent="0.2">
      <c r="C63" s="315" t="s">
        <v>126</v>
      </c>
    </row>
    <row r="64" spans="2:4" ht="15" customHeight="1" x14ac:dyDescent="0.2"/>
    <row r="65" spans="1:11" ht="15" customHeight="1" x14ac:dyDescent="0.2"/>
    <row r="66" spans="1:11" ht="15" customHeight="1" x14ac:dyDescent="0.2">
      <c r="A66" s="64" t="s">
        <v>48</v>
      </c>
      <c r="B66" s="64" t="s">
        <v>310</v>
      </c>
    </row>
    <row r="67" spans="1:11" ht="15" customHeight="1" x14ac:dyDescent="0.2">
      <c r="B67" s="64" t="s">
        <v>309</v>
      </c>
    </row>
    <row r="68" spans="1:11" ht="15" customHeight="1" x14ac:dyDescent="0.2">
      <c r="B68" s="90"/>
    </row>
    <row r="69" spans="1:11" ht="15" customHeight="1" x14ac:dyDescent="0.2"/>
    <row r="70" spans="1:11" ht="15" customHeight="1" x14ac:dyDescent="0.2">
      <c r="E70" s="409">
        <f>INDEX(LINEST(D$78:D$82,($C$78:$C$82)^{1,2,3}),1)</f>
        <v>0.28333333333332744</v>
      </c>
      <c r="F70" s="408">
        <f>INDEX(LINEST(D$83:D$87,($C$83:$C$87)^{1,2,3}),1)</f>
        <v>9.0833333333334172E-4</v>
      </c>
      <c r="H70" t="s">
        <v>300</v>
      </c>
    </row>
    <row r="71" spans="1:11" ht="15" customHeight="1" x14ac:dyDescent="0.2">
      <c r="E71" s="409">
        <f>INDEX(LINEST(D$78:D$82,($C$78:$C$82)^{1,2,3}),2)</f>
        <v>-3.9428571428570822</v>
      </c>
      <c r="F71" s="408">
        <f>INDEX(LINEST(D$83:D$87,($C$83:$C$87)^{1,2,3}),2)</f>
        <v>-0.12132142857142943</v>
      </c>
      <c r="H71" t="s">
        <v>301</v>
      </c>
    </row>
    <row r="72" spans="1:11" ht="15" customHeight="1" x14ac:dyDescent="0.2">
      <c r="E72" s="409">
        <f>INDEX(LINEST(D$78:D$82,($C$78:$C$82)^{1,2,3}),3)</f>
        <v>32.073809523809345</v>
      </c>
      <c r="F72" s="408">
        <f>INDEX(LINEST(D$83:D$87,($C$83:$C$87)^{1,2,3}),3)</f>
        <v>13.145952380952403</v>
      </c>
    </row>
    <row r="73" spans="1:11" ht="15" customHeight="1" x14ac:dyDescent="0.2">
      <c r="E73" s="409">
        <f>INDEX(LINEST(D$78:D$82,($C$78:$C$82)^{1,2,3}),4)</f>
        <v>-6.0599999999998655</v>
      </c>
      <c r="F73" s="408">
        <f>INDEX(LINEST(D$83:D$87,($C$83:$C$87)^{1,2,3}),4)</f>
        <v>30.479999999999897</v>
      </c>
    </row>
    <row r="74" spans="1:11" ht="15" customHeight="1" x14ac:dyDescent="0.2">
      <c r="E74" s="1"/>
      <c r="F74" s="1"/>
    </row>
    <row r="75" spans="1:11" ht="15" customHeight="1" x14ac:dyDescent="0.2">
      <c r="C75" s="116"/>
      <c r="D75" s="117" t="s">
        <v>69</v>
      </c>
      <c r="E75" s="117"/>
      <c r="F75" s="1"/>
      <c r="H75" s="133"/>
      <c r="I75" s="391" t="s">
        <v>56</v>
      </c>
      <c r="J75" s="133"/>
      <c r="K75" s="133"/>
    </row>
    <row r="76" spans="1:11" ht="15" customHeight="1" x14ac:dyDescent="0.2">
      <c r="A76" s="283" t="s">
        <v>311</v>
      </c>
      <c r="C76" s="116"/>
      <c r="D76" s="117" t="s">
        <v>42</v>
      </c>
      <c r="E76" s="117"/>
      <c r="F76" s="1"/>
      <c r="H76" s="133"/>
      <c r="I76" s="392" t="s">
        <v>33</v>
      </c>
      <c r="J76" s="133" t="s">
        <v>34</v>
      </c>
      <c r="K76" s="413" t="s">
        <v>298</v>
      </c>
    </row>
    <row r="77" spans="1:11" ht="15" customHeight="1" x14ac:dyDescent="0.2">
      <c r="C77" s="116" t="s">
        <v>21</v>
      </c>
      <c r="D77" s="117" t="s">
        <v>43</v>
      </c>
      <c r="E77" s="117"/>
      <c r="F77" s="1"/>
      <c r="H77" s="133" t="s">
        <v>21</v>
      </c>
      <c r="I77" s="392" t="s">
        <v>72</v>
      </c>
      <c r="J77" s="133" t="s">
        <v>264</v>
      </c>
      <c r="K77" s="414" t="s">
        <v>299</v>
      </c>
    </row>
    <row r="78" spans="1:11" ht="15" customHeight="1" x14ac:dyDescent="0.2">
      <c r="C78" s="106">
        <v>1</v>
      </c>
      <c r="D78" s="109">
        <f>D52</f>
        <v>22.3</v>
      </c>
      <c r="E78" s="114">
        <f>(E$70*($C78)^3)+(E$71*($C78)^2)+(E$72*($C78)^1)+(E$73)</f>
        <v>22.354285714285723</v>
      </c>
      <c r="F78" s="2"/>
      <c r="H78" s="106">
        <v>1</v>
      </c>
      <c r="I78" s="393">
        <f>E78</f>
        <v>22.354285714285723</v>
      </c>
      <c r="J78" s="109">
        <f>B52</f>
        <v>22.3</v>
      </c>
      <c r="K78" s="410">
        <f>I78-J78</f>
        <v>5.4285714285722264E-2</v>
      </c>
    </row>
    <row r="79" spans="1:11" ht="15" customHeight="1" x14ac:dyDescent="0.2">
      <c r="C79" s="106">
        <v>2</v>
      </c>
      <c r="D79" s="110">
        <f t="shared" ref="D79:D87" si="1">D53</f>
        <v>44.8</v>
      </c>
      <c r="E79" s="114">
        <f t="shared" ref="E79:E82" si="2">(E$70*($C79)^3)+(E$71*($C79)^2)+(E$72*($C79)^1)+(E$73)</f>
        <v>44.582857142857115</v>
      </c>
      <c r="F79" s="2"/>
      <c r="H79" s="106">
        <v>2</v>
      </c>
      <c r="I79" s="393">
        <f t="shared" ref="I79:I82" si="3">E79</f>
        <v>44.582857142857115</v>
      </c>
      <c r="J79" s="110">
        <f t="shared" ref="J79:J87" si="4">B53</f>
        <v>44.8</v>
      </c>
      <c r="K79" s="411">
        <f t="shared" ref="K79:K87" si="5">I79-J79</f>
        <v>-0.21714285714288195</v>
      </c>
    </row>
    <row r="80" spans="1:11" ht="15" customHeight="1" x14ac:dyDescent="0.2">
      <c r="B80" s="28" t="s">
        <v>308</v>
      </c>
      <c r="C80" s="106">
        <v>3</v>
      </c>
      <c r="D80" s="105">
        <f t="shared" si="1"/>
        <v>62</v>
      </c>
      <c r="E80" s="114">
        <f t="shared" si="2"/>
        <v>62.325714285714263</v>
      </c>
      <c r="F80" s="2"/>
      <c r="H80" s="106">
        <v>3</v>
      </c>
      <c r="I80" s="393">
        <f t="shared" si="3"/>
        <v>62.325714285714263</v>
      </c>
      <c r="J80" s="105">
        <f t="shared" si="4"/>
        <v>62</v>
      </c>
      <c r="K80" s="412">
        <f t="shared" si="5"/>
        <v>0.32571428571426253</v>
      </c>
    </row>
    <row r="81" spans="1:11" ht="15" customHeight="1" x14ac:dyDescent="0.2">
      <c r="C81" s="106">
        <v>4</v>
      </c>
      <c r="D81" s="105">
        <f t="shared" si="1"/>
        <v>77.5</v>
      </c>
      <c r="E81" s="114">
        <f t="shared" si="2"/>
        <v>77.282857142857154</v>
      </c>
      <c r="F81" s="2"/>
      <c r="H81" s="106">
        <v>4</v>
      </c>
      <c r="I81" s="393">
        <f t="shared" si="3"/>
        <v>77.282857142857154</v>
      </c>
      <c r="J81" s="105">
        <f t="shared" si="4"/>
        <v>75.5</v>
      </c>
      <c r="K81" s="412">
        <f t="shared" si="5"/>
        <v>1.7828571428571536</v>
      </c>
    </row>
    <row r="82" spans="1:11" ht="15" customHeight="1" x14ac:dyDescent="0.2">
      <c r="C82" s="106">
        <v>5</v>
      </c>
      <c r="D82" s="110">
        <f t="shared" si="1"/>
        <v>91.1</v>
      </c>
      <c r="E82" s="114">
        <f t="shared" si="2"/>
        <v>91.154285714285763</v>
      </c>
      <c r="F82" s="2"/>
      <c r="H82" s="106">
        <v>5</v>
      </c>
      <c r="I82" s="393">
        <f t="shared" si="3"/>
        <v>91.154285714285763</v>
      </c>
      <c r="J82" s="110">
        <f t="shared" si="4"/>
        <v>91.1</v>
      </c>
      <c r="K82" s="411">
        <f t="shared" si="5"/>
        <v>5.4285714285768449E-2</v>
      </c>
    </row>
    <row r="83" spans="1:11" ht="15" customHeight="1" x14ac:dyDescent="0.2">
      <c r="C83" s="106">
        <v>10</v>
      </c>
      <c r="D83" s="105">
        <f t="shared" si="1"/>
        <v>150.69999999999999</v>
      </c>
      <c r="E83" s="416"/>
      <c r="F83" s="115">
        <f>(F$70*($C83)^3)+(F$71*($C83)^2)+(F$72*($C83)^1)+(F$73)</f>
        <v>150.71571428571431</v>
      </c>
      <c r="H83" s="106">
        <v>10</v>
      </c>
      <c r="I83" s="393">
        <f>F83</f>
        <v>150.71571428571431</v>
      </c>
      <c r="J83" s="105">
        <f t="shared" si="4"/>
        <v>150.69999999999999</v>
      </c>
      <c r="K83" s="412">
        <f t="shared" si="5"/>
        <v>1.5714285714324205E-2</v>
      </c>
    </row>
    <row r="84" spans="1:11" ht="15" customHeight="1" x14ac:dyDescent="0.2">
      <c r="C84" s="106">
        <v>20</v>
      </c>
      <c r="D84" s="105">
        <f t="shared" si="1"/>
        <v>252.2</v>
      </c>
      <c r="E84" s="2"/>
      <c r="F84" s="115">
        <f t="shared" ref="F84:F87" si="6">(F$70*($C84)^3)+(F$71*($C84)^2)+(F$72*($C84)^1)+(F$73)</f>
        <v>252.13714285714292</v>
      </c>
      <c r="H84" s="106">
        <v>20</v>
      </c>
      <c r="I84" s="393">
        <f t="shared" ref="I84:I87" si="7">F84</f>
        <v>252.13714285714292</v>
      </c>
      <c r="J84" s="105">
        <f t="shared" si="4"/>
        <v>252.2</v>
      </c>
      <c r="K84" s="412">
        <f t="shared" si="5"/>
        <v>-6.2857142857069448E-2</v>
      </c>
    </row>
    <row r="85" spans="1:11" ht="15" customHeight="1" x14ac:dyDescent="0.2">
      <c r="B85" s="28" t="s">
        <v>297</v>
      </c>
      <c r="C85" s="106">
        <v>30</v>
      </c>
      <c r="D85" s="105">
        <f t="shared" si="1"/>
        <v>340.1</v>
      </c>
      <c r="E85" s="2"/>
      <c r="F85" s="115">
        <f t="shared" si="6"/>
        <v>340.1942857142858</v>
      </c>
      <c r="H85" s="106">
        <v>30</v>
      </c>
      <c r="I85" s="393">
        <f t="shared" si="7"/>
        <v>340.1942857142858</v>
      </c>
      <c r="J85" s="105">
        <f t="shared" si="4"/>
        <v>340.1</v>
      </c>
      <c r="K85" s="412">
        <f t="shared" si="5"/>
        <v>9.4285714285774702E-2</v>
      </c>
    </row>
    <row r="86" spans="1:11" ht="15" customHeight="1" x14ac:dyDescent="0.2">
      <c r="C86" s="106">
        <v>40</v>
      </c>
      <c r="D86" s="105">
        <f t="shared" si="1"/>
        <v>420.4</v>
      </c>
      <c r="E86" s="2"/>
      <c r="F86" s="115">
        <f t="shared" si="6"/>
        <v>420.33714285714279</v>
      </c>
      <c r="H86" s="106">
        <v>40</v>
      </c>
      <c r="I86" s="393">
        <f t="shared" si="7"/>
        <v>420.33714285714279</v>
      </c>
      <c r="J86" s="105">
        <f t="shared" si="4"/>
        <v>420.4</v>
      </c>
      <c r="K86" s="412">
        <f t="shared" si="5"/>
        <v>-6.2857142857183135E-2</v>
      </c>
    </row>
    <row r="87" spans="1:11" ht="15" customHeight="1" x14ac:dyDescent="0.2">
      <c r="C87" s="106">
        <v>50</v>
      </c>
      <c r="D87" s="110">
        <f t="shared" si="1"/>
        <v>498</v>
      </c>
      <c r="E87" s="2"/>
      <c r="F87" s="115">
        <f t="shared" si="6"/>
        <v>498.01571428571424</v>
      </c>
      <c r="H87" s="106">
        <v>50</v>
      </c>
      <c r="I87" s="394">
        <f t="shared" si="7"/>
        <v>498.01571428571424</v>
      </c>
      <c r="J87" s="110">
        <f t="shared" si="4"/>
        <v>498</v>
      </c>
      <c r="K87" s="411">
        <f t="shared" si="5"/>
        <v>1.571428571423894E-2</v>
      </c>
    </row>
    <row r="88" spans="1:11" ht="15" customHeight="1" x14ac:dyDescent="0.2">
      <c r="I88" s="38"/>
    </row>
    <row r="89" spans="1:11" ht="15" customHeight="1" x14ac:dyDescent="0.2"/>
    <row r="90" spans="1:11" ht="15" customHeight="1" x14ac:dyDescent="0.2"/>
    <row r="91" spans="1:11" ht="15" customHeight="1" x14ac:dyDescent="0.2">
      <c r="I91" s="38"/>
    </row>
    <row r="92" spans="1:11" ht="15" customHeight="1" x14ac:dyDescent="0.2">
      <c r="A92" s="64" t="s">
        <v>75</v>
      </c>
      <c r="B92" s="64" t="s">
        <v>73</v>
      </c>
    </row>
    <row r="93" spans="1:11" ht="15" customHeight="1" x14ac:dyDescent="0.2">
      <c r="A93" s="64"/>
      <c r="B93" s="64"/>
    </row>
    <row r="94" spans="1:11" ht="15" customHeight="1" x14ac:dyDescent="0.2">
      <c r="A94" s="64"/>
      <c r="B94" s="64" t="s">
        <v>76</v>
      </c>
    </row>
    <row r="95" spans="1:11" ht="15" customHeight="1" x14ac:dyDescent="0.2">
      <c r="A95" s="64"/>
      <c r="B95" s="64"/>
      <c r="K95" s="90" t="s">
        <v>78</v>
      </c>
    </row>
    <row r="96" spans="1:11" ht="15" customHeight="1" x14ac:dyDescent="0.2">
      <c r="I96" s="38"/>
    </row>
    <row r="97" spans="2:18" ht="15" customHeight="1" x14ac:dyDescent="0.2">
      <c r="G97" s="368"/>
      <c r="H97" s="369" t="s">
        <v>35</v>
      </c>
      <c r="I97" s="38"/>
      <c r="J97" s="441" t="str">
        <f>IF($D$12="15 flsprs","ca% = stiff","ca% = aver")</f>
        <v>ca% = aver</v>
      </c>
      <c r="M97" t="s">
        <v>94</v>
      </c>
    </row>
    <row r="98" spans="2:18" ht="15" customHeight="1" x14ac:dyDescent="0.2">
      <c r="B98" s="133"/>
      <c r="C98" s="313"/>
      <c r="D98" s="391" t="s">
        <v>56</v>
      </c>
      <c r="E98" s="391" t="s">
        <v>56</v>
      </c>
      <c r="F98" s="133"/>
      <c r="G98" s="370" t="s">
        <v>34</v>
      </c>
      <c r="H98" s="371" t="s">
        <v>285</v>
      </c>
      <c r="J98" s="404" t="s">
        <v>28</v>
      </c>
      <c r="K98" s="147"/>
      <c r="M98" s="404"/>
      <c r="N98" s="139" t="s">
        <v>79</v>
      </c>
    </row>
    <row r="99" spans="2:18" ht="15" customHeight="1" x14ac:dyDescent="0.2">
      <c r="B99" s="133"/>
      <c r="C99" s="117" t="s">
        <v>32</v>
      </c>
      <c r="D99" s="392" t="s">
        <v>33</v>
      </c>
      <c r="E99" s="392" t="s">
        <v>35</v>
      </c>
      <c r="F99" s="133" t="s">
        <v>28</v>
      </c>
      <c r="G99" s="370" t="s">
        <v>35</v>
      </c>
      <c r="H99" s="371" t="s">
        <v>286</v>
      </c>
      <c r="J99" s="483" t="str">
        <f>IF($D$12="15 flsprs","stiff","aver")</f>
        <v>aver</v>
      </c>
      <c r="K99" s="148" t="s">
        <v>77</v>
      </c>
      <c r="M99" s="102" t="s">
        <v>52</v>
      </c>
      <c r="N99" s="514" t="s">
        <v>382</v>
      </c>
    </row>
    <row r="100" spans="2:18" ht="15" customHeight="1" x14ac:dyDescent="0.2">
      <c r="B100" s="133" t="s">
        <v>21</v>
      </c>
      <c r="C100" s="407" t="s">
        <v>53</v>
      </c>
      <c r="D100" s="252" t="s">
        <v>53</v>
      </c>
      <c r="E100" s="252" t="s">
        <v>160</v>
      </c>
      <c r="F100" s="367" t="s">
        <v>158</v>
      </c>
      <c r="G100" s="372" t="s">
        <v>53</v>
      </c>
      <c r="H100" s="373" t="s">
        <v>158</v>
      </c>
      <c r="J100" s="405" t="s">
        <v>74</v>
      </c>
      <c r="K100" s="406" t="s">
        <v>291</v>
      </c>
      <c r="M100" s="102" t="s">
        <v>36</v>
      </c>
      <c r="N100" s="140"/>
      <c r="O100" s="265" t="s">
        <v>128</v>
      </c>
      <c r="P100" s="38" t="s">
        <v>136</v>
      </c>
      <c r="Q100" s="214" t="s">
        <v>137</v>
      </c>
    </row>
    <row r="101" spans="2:18" ht="15" customHeight="1" x14ac:dyDescent="0.2">
      <c r="B101" s="106">
        <v>1</v>
      </c>
      <c r="C101" s="119">
        <f>D101+E101</f>
        <v>22.666285714285724</v>
      </c>
      <c r="D101" s="119">
        <f t="shared" ref="D101:D110" si="8">I78</f>
        <v>22.354285714285723</v>
      </c>
      <c r="E101" s="118">
        <v>0.312</v>
      </c>
      <c r="F101" s="152">
        <f>E101/C101</f>
        <v>1.3764937225835723E-2</v>
      </c>
      <c r="G101" s="374">
        <f t="shared" ref="G101:G110" si="9">G30</f>
        <v>0</v>
      </c>
      <c r="H101" s="375">
        <f>E101-G101</f>
        <v>0.312</v>
      </c>
      <c r="J101" s="484">
        <f>IF($D$12="15 flsprs",C30/100,E30/100)</f>
        <v>1.375E-2</v>
      </c>
      <c r="K101" s="150">
        <f t="shared" ref="K101:K110" si="10">J101-F101</f>
        <v>-1.4937225835722975E-5</v>
      </c>
      <c r="M101" s="402">
        <f t="shared" ref="M101:M110" si="11">C101/D101</f>
        <v>1.0139570552147239</v>
      </c>
      <c r="N101" s="143">
        <f t="shared" ref="N101:N110" si="12">D101*M101</f>
        <v>22.666285714285724</v>
      </c>
      <c r="O101" s="287">
        <f t="shared" ref="O101:O110" si="13">N101-C101</f>
        <v>0</v>
      </c>
      <c r="P101" s="288">
        <f t="shared" ref="P101:P110" si="14">J101/F101</f>
        <v>0.99891483516483559</v>
      </c>
      <c r="Q101" s="289">
        <f t="shared" ref="Q101:Q110" si="15">P101*E101</f>
        <v>0.3116614285714287</v>
      </c>
      <c r="R101" s="267" t="s">
        <v>200</v>
      </c>
    </row>
    <row r="102" spans="2:18" ht="15" customHeight="1" x14ac:dyDescent="0.2">
      <c r="B102" s="106">
        <v>2</v>
      </c>
      <c r="C102" s="120">
        <f t="shared" ref="C102:C110" si="16">D102+E102</f>
        <v>45.962857142857118</v>
      </c>
      <c r="D102" s="120">
        <f t="shared" si="8"/>
        <v>44.582857142857115</v>
      </c>
      <c r="E102" s="118">
        <v>1.38</v>
      </c>
      <c r="F102" s="153">
        <f t="shared" ref="F102:F110" si="17">E102/C102</f>
        <v>3.0024243177721156E-2</v>
      </c>
      <c r="G102" s="376">
        <f t="shared" si="9"/>
        <v>0.4</v>
      </c>
      <c r="H102" s="377">
        <f t="shared" ref="H102:H110" si="18">E102-G102</f>
        <v>0.97999999999999987</v>
      </c>
      <c r="J102" s="484">
        <f t="shared" ref="J102:J110" si="19">IF($D$12="15 flsprs",C31/100,E31/100)</f>
        <v>0.03</v>
      </c>
      <c r="K102" s="150">
        <f t="shared" si="10"/>
        <v>-2.4243177721157416E-5</v>
      </c>
      <c r="M102" s="402">
        <f t="shared" si="11"/>
        <v>1.0309536016406051</v>
      </c>
      <c r="N102" s="144">
        <f t="shared" si="12"/>
        <v>45.962857142857118</v>
      </c>
      <c r="O102" s="287">
        <f t="shared" si="13"/>
        <v>0</v>
      </c>
      <c r="P102" s="288">
        <f t="shared" si="14"/>
        <v>0.99919254658385037</v>
      </c>
      <c r="Q102" s="290">
        <f t="shared" si="15"/>
        <v>1.3788857142857134</v>
      </c>
      <c r="R102" s="267" t="s">
        <v>312</v>
      </c>
    </row>
    <row r="103" spans="2:18" ht="15" customHeight="1" x14ac:dyDescent="0.2">
      <c r="B103" s="106">
        <v>3</v>
      </c>
      <c r="C103" s="121">
        <f t="shared" si="16"/>
        <v>65.299714285714259</v>
      </c>
      <c r="D103" s="121">
        <f t="shared" si="8"/>
        <v>62.325714285714263</v>
      </c>
      <c r="E103" s="118">
        <v>2.9740000000000002</v>
      </c>
      <c r="F103" s="154">
        <f t="shared" si="17"/>
        <v>4.554384398969151E-2</v>
      </c>
      <c r="G103" s="378">
        <f t="shared" si="9"/>
        <v>1.5</v>
      </c>
      <c r="H103" s="379">
        <f t="shared" si="18"/>
        <v>1.4740000000000002</v>
      </c>
      <c r="J103" s="484">
        <f t="shared" si="19"/>
        <v>4.5499999999999999E-2</v>
      </c>
      <c r="K103" s="150">
        <f t="shared" si="10"/>
        <v>-4.3843989691511043E-5</v>
      </c>
      <c r="M103" s="402">
        <f t="shared" si="11"/>
        <v>1.0477170624369669</v>
      </c>
      <c r="N103" s="145">
        <f t="shared" si="12"/>
        <v>65.299714285714259</v>
      </c>
      <c r="O103" s="287">
        <f t="shared" si="13"/>
        <v>0</v>
      </c>
      <c r="P103" s="288">
        <f t="shared" si="14"/>
        <v>0.99903732347007346</v>
      </c>
      <c r="Q103" s="288">
        <f t="shared" si="15"/>
        <v>2.9711369999999988</v>
      </c>
      <c r="R103" s="267" t="s">
        <v>143</v>
      </c>
    </row>
    <row r="104" spans="2:18" ht="15" customHeight="1" x14ac:dyDescent="0.2">
      <c r="B104" s="106">
        <v>4</v>
      </c>
      <c r="C104" s="121">
        <f t="shared" si="16"/>
        <v>82.307857142857159</v>
      </c>
      <c r="D104" s="121">
        <f t="shared" si="8"/>
        <v>77.282857142857154</v>
      </c>
      <c r="E104" s="118">
        <v>5.0250000000000004</v>
      </c>
      <c r="F104" s="154">
        <f t="shared" si="17"/>
        <v>6.1051279603578888E-2</v>
      </c>
      <c r="G104" s="378">
        <f t="shared" si="9"/>
        <v>2.4</v>
      </c>
      <c r="H104" s="379">
        <f t="shared" si="18"/>
        <v>2.6250000000000004</v>
      </c>
      <c r="J104" s="484">
        <f t="shared" si="19"/>
        <v>6.1050000000000007E-2</v>
      </c>
      <c r="K104" s="150">
        <f t="shared" si="10"/>
        <v>-1.2796035788811833E-6</v>
      </c>
      <c r="M104" s="402">
        <f t="shared" si="11"/>
        <v>1.0650208880180414</v>
      </c>
      <c r="N104" s="145">
        <f t="shared" si="12"/>
        <v>82.307857142857159</v>
      </c>
      <c r="O104" s="287">
        <f t="shared" si="13"/>
        <v>0</v>
      </c>
      <c r="P104" s="288">
        <f t="shared" si="14"/>
        <v>0.99997904051172737</v>
      </c>
      <c r="Q104" s="288">
        <f t="shared" si="15"/>
        <v>5.0248946785714308</v>
      </c>
      <c r="R104" s="88" t="s">
        <v>142</v>
      </c>
    </row>
    <row r="105" spans="2:18" ht="15" customHeight="1" x14ac:dyDescent="0.2">
      <c r="B105" s="106">
        <v>5</v>
      </c>
      <c r="C105" s="120">
        <f t="shared" si="16"/>
        <v>98.493285714285761</v>
      </c>
      <c r="D105" s="120">
        <f t="shared" si="8"/>
        <v>91.154285714285763</v>
      </c>
      <c r="E105" s="118">
        <v>7.3390000000000004</v>
      </c>
      <c r="F105" s="153">
        <f t="shared" si="17"/>
        <v>7.451269339606903E-2</v>
      </c>
      <c r="G105" s="376">
        <f t="shared" si="9"/>
        <v>4</v>
      </c>
      <c r="H105" s="377">
        <f t="shared" si="18"/>
        <v>3.3390000000000004</v>
      </c>
      <c r="J105" s="484">
        <f t="shared" si="19"/>
        <v>7.4499999999999997E-2</v>
      </c>
      <c r="K105" s="150">
        <f t="shared" si="10"/>
        <v>-1.2693396069032858E-5</v>
      </c>
      <c r="M105" s="402">
        <f t="shared" si="11"/>
        <v>1.0805118480441323</v>
      </c>
      <c r="N105" s="144">
        <f t="shared" si="12"/>
        <v>98.493285714285747</v>
      </c>
      <c r="O105" s="287">
        <f t="shared" si="13"/>
        <v>0</v>
      </c>
      <c r="P105" s="288">
        <f t="shared" si="14"/>
        <v>0.99982964786950379</v>
      </c>
      <c r="Q105" s="290">
        <f t="shared" si="15"/>
        <v>7.3377497857142888</v>
      </c>
    </row>
    <row r="106" spans="2:18" ht="15" customHeight="1" x14ac:dyDescent="0.2">
      <c r="B106" s="106">
        <v>10</v>
      </c>
      <c r="C106" s="121">
        <f t="shared" si="16"/>
        <v>168.88371428571432</v>
      </c>
      <c r="D106" s="121">
        <f t="shared" si="8"/>
        <v>150.71571428571431</v>
      </c>
      <c r="E106" s="118">
        <v>18.167999999999999</v>
      </c>
      <c r="F106" s="154">
        <f t="shared" si="17"/>
        <v>0.1075769802721399</v>
      </c>
      <c r="G106" s="378">
        <f t="shared" si="9"/>
        <v>15</v>
      </c>
      <c r="H106" s="379">
        <f t="shared" si="18"/>
        <v>3.1679999999999993</v>
      </c>
      <c r="J106" s="484">
        <f t="shared" si="19"/>
        <v>0.10754999999999999</v>
      </c>
      <c r="K106" s="150">
        <f t="shared" si="10"/>
        <v>-2.6980272139903727E-5</v>
      </c>
      <c r="M106" s="402">
        <f t="shared" si="11"/>
        <v>1.1205448289589672</v>
      </c>
      <c r="N106" s="145">
        <f t="shared" si="12"/>
        <v>168.88371428571432</v>
      </c>
      <c r="O106" s="287">
        <f t="shared" si="13"/>
        <v>0</v>
      </c>
      <c r="P106" s="288">
        <f t="shared" si="14"/>
        <v>0.99974920032081538</v>
      </c>
      <c r="Q106" s="288">
        <f t="shared" si="15"/>
        <v>18.163443471428572</v>
      </c>
    </row>
    <row r="107" spans="2:18" ht="15" customHeight="1" x14ac:dyDescent="0.2">
      <c r="B107" s="106">
        <v>20</v>
      </c>
      <c r="C107" s="121">
        <f t="shared" si="16"/>
        <v>289.82114285714295</v>
      </c>
      <c r="D107" s="121">
        <f t="shared" si="8"/>
        <v>252.13714285714292</v>
      </c>
      <c r="E107" s="118">
        <v>37.683999999999997</v>
      </c>
      <c r="F107" s="154">
        <f t="shared" si="17"/>
        <v>0.13002502035738292</v>
      </c>
      <c r="G107" s="378">
        <f t="shared" si="9"/>
        <v>41.9</v>
      </c>
      <c r="H107" s="379">
        <f t="shared" si="18"/>
        <v>-4.2160000000000011</v>
      </c>
      <c r="J107" s="484">
        <f t="shared" si="19"/>
        <v>0.13</v>
      </c>
      <c r="K107" s="150">
        <f t="shared" si="10"/>
        <v>-2.5020357382915526E-5</v>
      </c>
      <c r="M107" s="402">
        <f t="shared" si="11"/>
        <v>1.149458344665035</v>
      </c>
      <c r="N107" s="145">
        <f t="shared" si="12"/>
        <v>289.82114285714295</v>
      </c>
      <c r="O107" s="287">
        <f t="shared" si="13"/>
        <v>0</v>
      </c>
      <c r="P107" s="288">
        <f t="shared" si="14"/>
        <v>0.99980757274781307</v>
      </c>
      <c r="Q107" s="288">
        <f t="shared" si="15"/>
        <v>37.676748571428583</v>
      </c>
    </row>
    <row r="108" spans="2:18" ht="15" customHeight="1" x14ac:dyDescent="0.2">
      <c r="B108" s="106">
        <v>30</v>
      </c>
      <c r="C108" s="121">
        <f>D108+E108</f>
        <v>391.03928571428582</v>
      </c>
      <c r="D108" s="121">
        <f t="shared" si="8"/>
        <v>340.1942857142858</v>
      </c>
      <c r="E108" s="118">
        <v>50.844999999999999</v>
      </c>
      <c r="F108" s="154">
        <f t="shared" si="17"/>
        <v>0.13002529888301317</v>
      </c>
      <c r="G108" s="378">
        <f t="shared" si="9"/>
        <v>57.4</v>
      </c>
      <c r="H108" s="379">
        <f t="shared" si="18"/>
        <v>-6.5549999999999997</v>
      </c>
      <c r="J108" s="484">
        <f t="shared" si="19"/>
        <v>0.13</v>
      </c>
      <c r="K108" s="150">
        <f t="shared" si="10"/>
        <v>-2.5298883013169515E-5</v>
      </c>
      <c r="M108" s="402">
        <f t="shared" si="11"/>
        <v>1.1494587126683913</v>
      </c>
      <c r="N108" s="145">
        <f t="shared" si="12"/>
        <v>391.03928571428582</v>
      </c>
      <c r="O108" s="287">
        <f t="shared" si="13"/>
        <v>0</v>
      </c>
      <c r="P108" s="288">
        <f t="shared" si="14"/>
        <v>0.99980543107202602</v>
      </c>
      <c r="Q108" s="288">
        <f t="shared" si="15"/>
        <v>50.835107142857161</v>
      </c>
    </row>
    <row r="109" spans="2:18" ht="15" customHeight="1" x14ac:dyDescent="0.2">
      <c r="B109" s="106">
        <v>40</v>
      </c>
      <c r="C109" s="121">
        <f t="shared" si="16"/>
        <v>483.1591428571428</v>
      </c>
      <c r="D109" s="121">
        <f t="shared" si="8"/>
        <v>420.33714285714279</v>
      </c>
      <c r="E109" s="118">
        <v>62.822000000000003</v>
      </c>
      <c r="F109" s="154">
        <f t="shared" si="17"/>
        <v>0.1300234113929927</v>
      </c>
      <c r="G109" s="378">
        <f t="shared" si="9"/>
        <v>69.5</v>
      </c>
      <c r="H109" s="379">
        <f t="shared" si="18"/>
        <v>-6.6779999999999973</v>
      </c>
      <c r="J109" s="484">
        <f t="shared" si="19"/>
        <v>0.13</v>
      </c>
      <c r="K109" s="150">
        <f t="shared" si="10"/>
        <v>-2.3411392992694902E-5</v>
      </c>
      <c r="M109" s="402">
        <f t="shared" si="11"/>
        <v>1.1494562188175479</v>
      </c>
      <c r="N109" s="145">
        <f t="shared" si="12"/>
        <v>483.1591428571428</v>
      </c>
      <c r="O109" s="287">
        <f t="shared" si="13"/>
        <v>0</v>
      </c>
      <c r="P109" s="288">
        <f t="shared" si="14"/>
        <v>0.99981994478731273</v>
      </c>
      <c r="Q109" s="288">
        <f t="shared" si="15"/>
        <v>62.810688571428564</v>
      </c>
    </row>
    <row r="110" spans="2:18" ht="15" customHeight="1" x14ac:dyDescent="0.2">
      <c r="B110" s="106">
        <v>50</v>
      </c>
      <c r="C110" s="120">
        <f t="shared" si="16"/>
        <v>572.4457142857143</v>
      </c>
      <c r="D110" s="120">
        <f t="shared" si="8"/>
        <v>498.01571428571424</v>
      </c>
      <c r="E110" s="118">
        <v>74.430000000000007</v>
      </c>
      <c r="F110" s="153">
        <f t="shared" si="17"/>
        <v>0.13002106250873446</v>
      </c>
      <c r="G110" s="380">
        <f t="shared" si="9"/>
        <v>81.400000000000006</v>
      </c>
      <c r="H110" s="381">
        <f t="shared" si="18"/>
        <v>-6.9699999999999989</v>
      </c>
      <c r="J110" s="485">
        <f t="shared" si="19"/>
        <v>0.13</v>
      </c>
      <c r="K110" s="151">
        <f t="shared" si="10"/>
        <v>-2.1062508734459584E-5</v>
      </c>
      <c r="M110" s="403">
        <f t="shared" si="11"/>
        <v>1.1494531153635428</v>
      </c>
      <c r="N110" s="146">
        <f t="shared" si="12"/>
        <v>572.4457142857143</v>
      </c>
      <c r="O110" s="287">
        <f t="shared" si="13"/>
        <v>0</v>
      </c>
      <c r="P110" s="288">
        <f t="shared" si="14"/>
        <v>0.99983800694804315</v>
      </c>
      <c r="Q110" s="290">
        <f t="shared" si="15"/>
        <v>74.417942857142862</v>
      </c>
    </row>
    <row r="111" spans="2:18" ht="15" customHeight="1" x14ac:dyDescent="0.2">
      <c r="K111" s="38"/>
    </row>
    <row r="112" spans="2:18" ht="15" customHeight="1" x14ac:dyDescent="0.2">
      <c r="K112" s="38"/>
    </row>
    <row r="113" spans="1:19" ht="15" customHeight="1" x14ac:dyDescent="0.2">
      <c r="A113" s="90" t="s">
        <v>80</v>
      </c>
      <c r="B113" s="64" t="s">
        <v>81</v>
      </c>
      <c r="I113" s="38"/>
    </row>
    <row r="114" spans="1:19" ht="15" customHeight="1" x14ac:dyDescent="0.2">
      <c r="A114" s="90"/>
      <c r="B114" s="28" t="s">
        <v>190</v>
      </c>
      <c r="I114" s="38"/>
    </row>
    <row r="115" spans="1:19" ht="15" customHeight="1" x14ac:dyDescent="0.2">
      <c r="A115" s="90"/>
      <c r="B115" s="28" t="s">
        <v>189</v>
      </c>
      <c r="I115" s="38"/>
    </row>
    <row r="116" spans="1:19" ht="15" customHeight="1" x14ac:dyDescent="0.2">
      <c r="A116" s="90"/>
      <c r="B116" s="28" t="s">
        <v>188</v>
      </c>
      <c r="I116" s="38"/>
    </row>
    <row r="117" spans="1:19" ht="15" customHeight="1" x14ac:dyDescent="0.2">
      <c r="A117" s="90"/>
      <c r="B117" s="28" t="s">
        <v>187</v>
      </c>
      <c r="I117" s="38"/>
    </row>
    <row r="118" spans="1:19" ht="15" customHeight="1" x14ac:dyDescent="0.2">
      <c r="A118" s="90"/>
      <c r="B118" s="28" t="s">
        <v>191</v>
      </c>
      <c r="I118" s="38"/>
    </row>
    <row r="119" spans="1:19" ht="15" customHeight="1" x14ac:dyDescent="0.2">
      <c r="A119" s="90"/>
      <c r="B119" s="28" t="s">
        <v>192</v>
      </c>
      <c r="I119" s="38"/>
    </row>
    <row r="120" spans="1:19" ht="15" customHeight="1" x14ac:dyDescent="0.2">
      <c r="B120" s="28" t="s">
        <v>193</v>
      </c>
      <c r="I120" s="38"/>
    </row>
    <row r="121" spans="1:19" ht="15" customHeight="1" x14ac:dyDescent="0.2">
      <c r="B121" s="28" t="s">
        <v>164</v>
      </c>
      <c r="I121" s="38"/>
    </row>
    <row r="122" spans="1:19" ht="15" customHeight="1" x14ac:dyDescent="0.2">
      <c r="I122" s="38"/>
      <c r="P122" s="308" t="s">
        <v>154</v>
      </c>
    </row>
    <row r="123" spans="1:19" ht="15" customHeight="1" x14ac:dyDescent="0.2">
      <c r="I123" s="441" t="str">
        <f>IF($B$12="12sxf450-psh","calc gas force = 73c, linear = 77","calc gas force = 69c, linear = 73")</f>
        <v>calc gas force = 73c, linear = 77</v>
      </c>
      <c r="M123" s="307" t="s">
        <v>152</v>
      </c>
    </row>
    <row r="124" spans="1:19" ht="15" customHeight="1" x14ac:dyDescent="0.2">
      <c r="D124" s="214" t="s">
        <v>163</v>
      </c>
      <c r="I124" s="38"/>
    </row>
    <row r="125" spans="1:19" ht="15" customHeight="1" x14ac:dyDescent="0.2">
      <c r="F125" s="38"/>
      <c r="G125" s="38"/>
      <c r="H125" s="38"/>
      <c r="I125" s="38"/>
      <c r="J125" s="359" t="s">
        <v>269</v>
      </c>
      <c r="K125" s="214"/>
      <c r="L125" s="214"/>
      <c r="M125" s="117" t="s">
        <v>194</v>
      </c>
      <c r="O125" s="38"/>
      <c r="P125" s="503" t="s">
        <v>374</v>
      </c>
      <c r="Q125" s="38"/>
    </row>
    <row r="126" spans="1:19" ht="15" customHeight="1" x14ac:dyDescent="0.2">
      <c r="B126" s="116"/>
      <c r="C126" s="91" t="s">
        <v>56</v>
      </c>
      <c r="D126" s="91" t="s">
        <v>56</v>
      </c>
      <c r="E126" s="205" t="s">
        <v>56</v>
      </c>
      <c r="F126" s="199" t="s">
        <v>56</v>
      </c>
      <c r="G126" s="199" t="s">
        <v>56</v>
      </c>
      <c r="H126" s="253" t="str">
        <f>J99</f>
        <v>aver</v>
      </c>
      <c r="I126" s="117" t="s">
        <v>34</v>
      </c>
      <c r="J126" s="309" t="s">
        <v>103</v>
      </c>
      <c r="K126" s="309" t="s">
        <v>104</v>
      </c>
      <c r="L126" s="91" t="s">
        <v>22</v>
      </c>
      <c r="M126" s="117" t="s">
        <v>22</v>
      </c>
      <c r="O126" s="91" t="s">
        <v>34</v>
      </c>
      <c r="P126" s="91" t="s">
        <v>34</v>
      </c>
      <c r="Q126" s="205" t="s">
        <v>34</v>
      </c>
      <c r="R126" s="426" t="s">
        <v>290</v>
      </c>
      <c r="S126" s="427" t="s">
        <v>289</v>
      </c>
    </row>
    <row r="127" spans="1:19" ht="15" customHeight="1" x14ac:dyDescent="0.2">
      <c r="B127" s="116"/>
      <c r="C127" s="95" t="s">
        <v>40</v>
      </c>
      <c r="D127" s="84" t="s">
        <v>41</v>
      </c>
      <c r="E127" s="117" t="s">
        <v>32</v>
      </c>
      <c r="F127" s="104" t="s">
        <v>33</v>
      </c>
      <c r="G127" s="104" t="s">
        <v>35</v>
      </c>
      <c r="H127" s="253" t="s">
        <v>28</v>
      </c>
      <c r="I127" s="309" t="s">
        <v>155</v>
      </c>
      <c r="J127" s="309" t="s">
        <v>155</v>
      </c>
      <c r="K127" s="309" t="s">
        <v>162</v>
      </c>
      <c r="L127" s="95" t="s">
        <v>156</v>
      </c>
      <c r="M127" s="117" t="s">
        <v>155</v>
      </c>
      <c r="O127" s="95" t="s">
        <v>155</v>
      </c>
      <c r="P127" s="95" t="s">
        <v>156</v>
      </c>
      <c r="Q127" s="401" t="s">
        <v>41</v>
      </c>
      <c r="R127" s="428" t="s">
        <v>287</v>
      </c>
      <c r="S127" s="429" t="s">
        <v>35</v>
      </c>
    </row>
    <row r="128" spans="1:19" ht="15" customHeight="1" x14ac:dyDescent="0.2">
      <c r="B128" s="116" t="s">
        <v>21</v>
      </c>
      <c r="C128" s="113" t="s">
        <v>158</v>
      </c>
      <c r="D128" s="113" t="s">
        <v>158</v>
      </c>
      <c r="E128" s="113" t="s">
        <v>158</v>
      </c>
      <c r="F128" s="252" t="s">
        <v>53</v>
      </c>
      <c r="G128" s="252" t="s">
        <v>53</v>
      </c>
      <c r="H128" s="312" t="s">
        <v>158</v>
      </c>
      <c r="I128" s="113" t="s">
        <v>157</v>
      </c>
      <c r="J128" s="113" t="s">
        <v>161</v>
      </c>
      <c r="K128" s="113" t="s">
        <v>158</v>
      </c>
      <c r="L128" s="418" t="s">
        <v>161</v>
      </c>
      <c r="M128" s="113" t="s">
        <v>161</v>
      </c>
      <c r="O128" s="113" t="s">
        <v>157</v>
      </c>
      <c r="P128" s="418" t="s">
        <v>157</v>
      </c>
      <c r="Q128" s="206" t="s">
        <v>157</v>
      </c>
      <c r="R128" s="430" t="s">
        <v>288</v>
      </c>
      <c r="S128" s="431" t="s">
        <v>316</v>
      </c>
    </row>
    <row r="129" spans="1:19" ht="15" customHeight="1" x14ac:dyDescent="0.2">
      <c r="B129" s="106">
        <v>1</v>
      </c>
      <c r="C129" s="119">
        <f>(D129-J129)</f>
        <v>38.666285714285721</v>
      </c>
      <c r="D129" s="119">
        <f>(F129+G129+J129+K129+L129)</f>
        <v>111.66628571428572</v>
      </c>
      <c r="E129" s="119">
        <f>F129+G129</f>
        <v>22.666285714285724</v>
      </c>
      <c r="F129" s="119">
        <f t="shared" ref="F129:G138" si="20">D101</f>
        <v>22.354285714285723</v>
      </c>
      <c r="G129" s="175">
        <f t="shared" si="20"/>
        <v>0.312</v>
      </c>
      <c r="H129" s="155">
        <f>G129/E129</f>
        <v>1.3764937225835723E-2</v>
      </c>
      <c r="I129" s="119">
        <f>O129</f>
        <v>80.8</v>
      </c>
      <c r="J129" s="241">
        <v>73</v>
      </c>
      <c r="K129" s="541">
        <v>4</v>
      </c>
      <c r="L129" s="507">
        <f>P129</f>
        <v>12</v>
      </c>
      <c r="M129" s="497">
        <v>77</v>
      </c>
      <c r="O129" s="417">
        <v>80.8</v>
      </c>
      <c r="P129" s="420">
        <v>12</v>
      </c>
      <c r="Q129" s="422">
        <v>115</v>
      </c>
      <c r="R129" s="432">
        <f>D129-Q129</f>
        <v>-3.3337142857142794</v>
      </c>
      <c r="S129" s="433">
        <f>G129-G30</f>
        <v>0.312</v>
      </c>
    </row>
    <row r="130" spans="1:19" ht="15" customHeight="1" x14ac:dyDescent="0.2">
      <c r="B130" s="106">
        <v>2</v>
      </c>
      <c r="C130" s="120">
        <f t="shared" ref="C130:C137" si="21">(D130-J130)</f>
        <v>61.962857142857104</v>
      </c>
      <c r="D130" s="120">
        <f t="shared" ref="D130:D138" si="22">(F130+G130+J130+K130+L130)</f>
        <v>134.9628571428571</v>
      </c>
      <c r="E130" s="120">
        <f t="shared" ref="E130:E135" si="23">F130+G130</f>
        <v>45.962857142857118</v>
      </c>
      <c r="F130" s="120">
        <f t="shared" si="20"/>
        <v>44.582857142857115</v>
      </c>
      <c r="G130" s="176">
        <f t="shared" si="20"/>
        <v>1.38</v>
      </c>
      <c r="H130" s="156">
        <f t="shared" ref="H130:H138" si="24">G130/E130</f>
        <v>3.0024243177721156E-2</v>
      </c>
      <c r="I130" s="120">
        <f t="shared" ref="I130:I138" si="25">O130</f>
        <v>80.5</v>
      </c>
      <c r="J130" s="317">
        <f>J129</f>
        <v>73</v>
      </c>
      <c r="K130" s="542">
        <v>4</v>
      </c>
      <c r="L130" s="506">
        <f>L129</f>
        <v>12</v>
      </c>
      <c r="M130" s="242">
        <v>77</v>
      </c>
      <c r="O130" s="242">
        <v>80.5</v>
      </c>
      <c r="P130" s="419">
        <v>11.4</v>
      </c>
      <c r="Q130" s="423">
        <v>137.1</v>
      </c>
      <c r="R130" s="434">
        <f t="shared" ref="R130:R138" si="26">D130-Q130</f>
        <v>-2.1371428571428908</v>
      </c>
      <c r="S130" s="435">
        <f t="shared" ref="S130:S138" si="27">G130-G31</f>
        <v>0.97999999999999987</v>
      </c>
    </row>
    <row r="131" spans="1:19" ht="15" customHeight="1" x14ac:dyDescent="0.2">
      <c r="B131" s="106">
        <v>3</v>
      </c>
      <c r="C131" s="121">
        <f t="shared" si="21"/>
        <v>81.299714285714259</v>
      </c>
      <c r="D131" s="121">
        <f t="shared" si="22"/>
        <v>154.29971428571426</v>
      </c>
      <c r="E131" s="121">
        <f t="shared" si="23"/>
        <v>65.299714285714259</v>
      </c>
      <c r="F131" s="121">
        <f t="shared" si="20"/>
        <v>62.325714285714263</v>
      </c>
      <c r="G131" s="177">
        <f t="shared" si="20"/>
        <v>2.9740000000000002</v>
      </c>
      <c r="H131" s="157">
        <f t="shared" si="24"/>
        <v>4.554384398969151E-2</v>
      </c>
      <c r="I131" s="121">
        <f t="shared" si="25"/>
        <v>80</v>
      </c>
      <c r="J131" s="318">
        <f t="shared" ref="J131:L138" si="28">J130</f>
        <v>73</v>
      </c>
      <c r="K131" s="543">
        <v>4</v>
      </c>
      <c r="L131" s="318">
        <f t="shared" si="28"/>
        <v>12</v>
      </c>
      <c r="M131" s="243">
        <v>77</v>
      </c>
      <c r="O131" s="243">
        <v>80</v>
      </c>
      <c r="P131" s="243">
        <v>12.3</v>
      </c>
      <c r="Q131" s="424">
        <v>155.80000000000001</v>
      </c>
      <c r="R131" s="436">
        <f t="shared" si="26"/>
        <v>-1.5002857142857522</v>
      </c>
      <c r="S131" s="437">
        <f t="shared" si="27"/>
        <v>1.4740000000000002</v>
      </c>
    </row>
    <row r="132" spans="1:19" ht="15" customHeight="1" x14ac:dyDescent="0.2">
      <c r="B132" s="106">
        <v>4</v>
      </c>
      <c r="C132" s="121">
        <f t="shared" si="21"/>
        <v>98.307857142857159</v>
      </c>
      <c r="D132" s="121">
        <f t="shared" si="22"/>
        <v>171.30785714285716</v>
      </c>
      <c r="E132" s="121">
        <f t="shared" si="23"/>
        <v>82.307857142857159</v>
      </c>
      <c r="F132" s="121">
        <f t="shared" si="20"/>
        <v>77.282857142857154</v>
      </c>
      <c r="G132" s="177">
        <f t="shared" si="20"/>
        <v>5.0250000000000004</v>
      </c>
      <c r="H132" s="157">
        <f t="shared" si="24"/>
        <v>6.1051279603578888E-2</v>
      </c>
      <c r="I132" s="121">
        <f t="shared" si="25"/>
        <v>79.7</v>
      </c>
      <c r="J132" s="318">
        <f t="shared" si="28"/>
        <v>73</v>
      </c>
      <c r="K132" s="543">
        <v>4</v>
      </c>
      <c r="L132" s="318">
        <f t="shared" si="28"/>
        <v>12</v>
      </c>
      <c r="M132" s="243">
        <v>77</v>
      </c>
      <c r="O132" s="243">
        <v>79.7</v>
      </c>
      <c r="P132" s="243">
        <v>14.3</v>
      </c>
      <c r="Q132" s="424">
        <v>171.9</v>
      </c>
      <c r="R132" s="436">
        <f t="shared" si="26"/>
        <v>-0.59214285714284642</v>
      </c>
      <c r="S132" s="437">
        <f t="shared" si="27"/>
        <v>2.6250000000000004</v>
      </c>
    </row>
    <row r="133" spans="1:19" ht="15" customHeight="1" x14ac:dyDescent="0.2">
      <c r="B133" s="106">
        <v>5</v>
      </c>
      <c r="C133" s="120">
        <f t="shared" si="21"/>
        <v>114.49328571428578</v>
      </c>
      <c r="D133" s="120">
        <f t="shared" si="22"/>
        <v>187.49328571428578</v>
      </c>
      <c r="E133" s="120">
        <f t="shared" si="23"/>
        <v>98.493285714285761</v>
      </c>
      <c r="F133" s="120">
        <f t="shared" si="20"/>
        <v>91.154285714285763</v>
      </c>
      <c r="G133" s="176">
        <f t="shared" si="20"/>
        <v>7.3390000000000004</v>
      </c>
      <c r="H133" s="156">
        <f t="shared" si="24"/>
        <v>7.451269339606903E-2</v>
      </c>
      <c r="I133" s="120">
        <f t="shared" si="25"/>
        <v>79.599999999999994</v>
      </c>
      <c r="J133" s="317">
        <f t="shared" si="28"/>
        <v>73</v>
      </c>
      <c r="K133" s="542">
        <v>4</v>
      </c>
      <c r="L133" s="317">
        <f t="shared" si="28"/>
        <v>12</v>
      </c>
      <c r="M133" s="242">
        <v>77</v>
      </c>
      <c r="O133" s="242">
        <v>79.599999999999994</v>
      </c>
      <c r="P133" s="242">
        <v>12.6</v>
      </c>
      <c r="Q133" s="423">
        <v>187.3</v>
      </c>
      <c r="R133" s="434">
        <f t="shared" si="26"/>
        <v>0.19328571428576424</v>
      </c>
      <c r="S133" s="435">
        <f t="shared" si="27"/>
        <v>3.3390000000000004</v>
      </c>
    </row>
    <row r="134" spans="1:19" ht="15" customHeight="1" x14ac:dyDescent="0.2">
      <c r="B134" s="106">
        <v>10</v>
      </c>
      <c r="C134" s="121">
        <f t="shared" si="21"/>
        <v>184.88371428571429</v>
      </c>
      <c r="D134" s="121">
        <f t="shared" si="22"/>
        <v>257.88371428571429</v>
      </c>
      <c r="E134" s="121">
        <f t="shared" si="23"/>
        <v>168.88371428571432</v>
      </c>
      <c r="F134" s="121">
        <f t="shared" si="20"/>
        <v>150.71571428571431</v>
      </c>
      <c r="G134" s="177">
        <f t="shared" si="20"/>
        <v>18.167999999999999</v>
      </c>
      <c r="H134" s="157">
        <f t="shared" si="24"/>
        <v>0.1075769802721399</v>
      </c>
      <c r="I134" s="121">
        <f t="shared" si="25"/>
        <v>79.7</v>
      </c>
      <c r="J134" s="318">
        <f t="shared" si="28"/>
        <v>73</v>
      </c>
      <c r="K134" s="543">
        <v>4</v>
      </c>
      <c r="L134" s="318">
        <f t="shared" si="28"/>
        <v>12</v>
      </c>
      <c r="M134" s="243">
        <v>77</v>
      </c>
      <c r="O134" s="243">
        <v>79.7</v>
      </c>
      <c r="P134" s="243">
        <v>11.5</v>
      </c>
      <c r="Q134" s="424">
        <v>256.89999999999998</v>
      </c>
      <c r="R134" s="436">
        <f t="shared" si="26"/>
        <v>0.98371428571431352</v>
      </c>
      <c r="S134" s="437">
        <f t="shared" si="27"/>
        <v>3.1679999999999993</v>
      </c>
    </row>
    <row r="135" spans="1:19" ht="15" customHeight="1" x14ac:dyDescent="0.2">
      <c r="B135" s="106">
        <v>20</v>
      </c>
      <c r="C135" s="121">
        <f t="shared" si="21"/>
        <v>305.82114285714295</v>
      </c>
      <c r="D135" s="121">
        <f t="shared" si="22"/>
        <v>378.82114285714295</v>
      </c>
      <c r="E135" s="121">
        <f t="shared" si="23"/>
        <v>289.82114285714295</v>
      </c>
      <c r="F135" s="121">
        <f t="shared" si="20"/>
        <v>252.13714285714292</v>
      </c>
      <c r="G135" s="177">
        <f t="shared" si="20"/>
        <v>37.683999999999997</v>
      </c>
      <c r="H135" s="157">
        <f t="shared" si="24"/>
        <v>0.13002502035738292</v>
      </c>
      <c r="I135" s="121">
        <f t="shared" si="25"/>
        <v>79.599999999999994</v>
      </c>
      <c r="J135" s="318">
        <f t="shared" si="28"/>
        <v>73</v>
      </c>
      <c r="K135" s="543">
        <v>4</v>
      </c>
      <c r="L135" s="318">
        <f t="shared" si="28"/>
        <v>12</v>
      </c>
      <c r="M135" s="243">
        <v>77</v>
      </c>
      <c r="O135" s="243">
        <v>79.599999999999994</v>
      </c>
      <c r="P135" s="243">
        <v>11</v>
      </c>
      <c r="Q135" s="424">
        <v>384.7</v>
      </c>
      <c r="R135" s="436">
        <f t="shared" si="26"/>
        <v>-5.8788571428570435</v>
      </c>
      <c r="S135" s="437">
        <f t="shared" si="27"/>
        <v>-4.2160000000000011</v>
      </c>
    </row>
    <row r="136" spans="1:19" ht="15" customHeight="1" x14ac:dyDescent="0.2">
      <c r="B136" s="106">
        <v>30</v>
      </c>
      <c r="C136" s="121">
        <f t="shared" si="21"/>
        <v>407.03928571428582</v>
      </c>
      <c r="D136" s="121">
        <f t="shared" si="22"/>
        <v>480.03928571428582</v>
      </c>
      <c r="E136" s="121">
        <f>F136+G136</f>
        <v>391.03928571428582</v>
      </c>
      <c r="F136" s="121">
        <f t="shared" si="20"/>
        <v>340.1942857142858</v>
      </c>
      <c r="G136" s="177">
        <f t="shared" si="20"/>
        <v>50.844999999999999</v>
      </c>
      <c r="H136" s="157">
        <f t="shared" si="24"/>
        <v>0.13002529888301317</v>
      </c>
      <c r="I136" s="121">
        <f t="shared" si="25"/>
        <v>80</v>
      </c>
      <c r="J136" s="318">
        <f t="shared" si="28"/>
        <v>73</v>
      </c>
      <c r="K136" s="543">
        <v>4</v>
      </c>
      <c r="L136" s="318">
        <f t="shared" si="28"/>
        <v>12</v>
      </c>
      <c r="M136" s="243">
        <v>77</v>
      </c>
      <c r="O136" s="243">
        <v>80</v>
      </c>
      <c r="P136" s="243">
        <v>13.3</v>
      </c>
      <c r="Q136" s="424">
        <v>490.8</v>
      </c>
      <c r="R136" s="436">
        <f t="shared" si="26"/>
        <v>-10.760714285714187</v>
      </c>
      <c r="S136" s="437">
        <f t="shared" si="27"/>
        <v>-6.5549999999999997</v>
      </c>
    </row>
    <row r="137" spans="1:19" ht="15" customHeight="1" x14ac:dyDescent="0.2">
      <c r="B137" s="106">
        <v>40</v>
      </c>
      <c r="C137" s="121">
        <f t="shared" si="21"/>
        <v>499.1591428571428</v>
      </c>
      <c r="D137" s="121">
        <f t="shared" si="22"/>
        <v>572.1591428571428</v>
      </c>
      <c r="E137" s="121">
        <f t="shared" ref="E137:E138" si="29">F137+G137</f>
        <v>483.1591428571428</v>
      </c>
      <c r="F137" s="121">
        <f t="shared" si="20"/>
        <v>420.33714285714279</v>
      </c>
      <c r="G137" s="177">
        <f t="shared" si="20"/>
        <v>62.822000000000003</v>
      </c>
      <c r="H137" s="157">
        <f t="shared" si="24"/>
        <v>0.1300234113929927</v>
      </c>
      <c r="I137" s="121">
        <f t="shared" si="25"/>
        <v>81.099999999999994</v>
      </c>
      <c r="J137" s="318">
        <f t="shared" si="28"/>
        <v>73</v>
      </c>
      <c r="K137" s="543">
        <v>4</v>
      </c>
      <c r="L137" s="318">
        <f t="shared" si="28"/>
        <v>12</v>
      </c>
      <c r="M137" s="243">
        <v>78</v>
      </c>
      <c r="O137" s="243">
        <v>81.099999999999994</v>
      </c>
      <c r="P137" s="243">
        <v>14.6</v>
      </c>
      <c r="Q137" s="424">
        <v>585.6</v>
      </c>
      <c r="R137" s="436">
        <f t="shared" si="26"/>
        <v>-13.440857142857226</v>
      </c>
      <c r="S137" s="437">
        <f t="shared" si="27"/>
        <v>-6.6779999999999973</v>
      </c>
    </row>
    <row r="138" spans="1:19" ht="15" customHeight="1" thickBot="1" x14ac:dyDescent="0.25">
      <c r="B138" s="106">
        <v>50</v>
      </c>
      <c r="C138" s="120">
        <f>(D138-J138)</f>
        <v>588.4457142857143</v>
      </c>
      <c r="D138" s="120">
        <f t="shared" si="22"/>
        <v>661.4457142857143</v>
      </c>
      <c r="E138" s="120">
        <f t="shared" si="29"/>
        <v>572.4457142857143</v>
      </c>
      <c r="F138" s="120">
        <f t="shared" si="20"/>
        <v>498.01571428571424</v>
      </c>
      <c r="G138" s="176">
        <f t="shared" si="20"/>
        <v>74.430000000000007</v>
      </c>
      <c r="H138" s="156">
        <f t="shared" si="24"/>
        <v>0.13002106250873446</v>
      </c>
      <c r="I138" s="120">
        <f t="shared" si="25"/>
        <v>82.7</v>
      </c>
      <c r="J138" s="317">
        <f t="shared" si="28"/>
        <v>73</v>
      </c>
      <c r="K138" s="542">
        <v>4</v>
      </c>
      <c r="L138" s="317">
        <f t="shared" si="28"/>
        <v>12</v>
      </c>
      <c r="M138" s="242">
        <v>79</v>
      </c>
      <c r="O138" s="242">
        <v>82.7</v>
      </c>
      <c r="P138" s="242">
        <v>15</v>
      </c>
      <c r="Q138" s="423">
        <v>677.1</v>
      </c>
      <c r="R138" s="438">
        <f t="shared" si="26"/>
        <v>-15.65428571428572</v>
      </c>
      <c r="S138" s="439">
        <f t="shared" si="27"/>
        <v>-6.9699999999999989</v>
      </c>
    </row>
    <row r="139" spans="1:19" ht="15" customHeight="1" x14ac:dyDescent="0.2">
      <c r="I139" s="38"/>
      <c r="J139" s="560"/>
      <c r="K139" s="561"/>
      <c r="L139" s="565"/>
      <c r="M139" s="565"/>
      <c r="N139" s="565"/>
      <c r="O139" s="572"/>
    </row>
    <row r="140" spans="1:19" ht="15" customHeight="1" thickBot="1" x14ac:dyDescent="0.25">
      <c r="I140" s="38"/>
      <c r="J140" s="568" t="s">
        <v>422</v>
      </c>
      <c r="K140" s="569"/>
      <c r="L140" s="573"/>
      <c r="M140" s="573"/>
      <c r="N140" s="573"/>
      <c r="O140" s="574"/>
    </row>
    <row r="141" spans="1:19" x14ac:dyDescent="0.2">
      <c r="A141" s="90" t="s">
        <v>82</v>
      </c>
      <c r="B141" s="64" t="s">
        <v>83</v>
      </c>
      <c r="I141" s="38"/>
    </row>
    <row r="142" spans="1:19" ht="15" customHeight="1" x14ac:dyDescent="0.2">
      <c r="N142" s="500" t="s">
        <v>377</v>
      </c>
    </row>
    <row r="143" spans="1:19" ht="15" customHeight="1" x14ac:dyDescent="0.2">
      <c r="B143" s="90" t="s">
        <v>91</v>
      </c>
      <c r="C143" s="40"/>
      <c r="I143" s="38"/>
    </row>
    <row r="144" spans="1:19" ht="15" customHeight="1" x14ac:dyDescent="0.2">
      <c r="B144" s="64" t="s">
        <v>92</v>
      </c>
      <c r="C144" s="40"/>
      <c r="D144" s="40"/>
      <c r="E144" s="40"/>
      <c r="F144" s="40"/>
      <c r="G144" s="40"/>
      <c r="H144" s="40"/>
      <c r="I144" s="40"/>
      <c r="J144" s="40"/>
      <c r="K144" s="40"/>
      <c r="L144" s="40"/>
      <c r="Q144" s="28" t="s">
        <v>168</v>
      </c>
    </row>
    <row r="145" spans="2:19" ht="15" customHeight="1" x14ac:dyDescent="0.2">
      <c r="B145" s="90" t="s">
        <v>93</v>
      </c>
      <c r="C145" s="40"/>
      <c r="D145" s="40"/>
      <c r="E145" s="40"/>
      <c r="F145" s="306" t="s">
        <v>153</v>
      </c>
      <c r="G145" s="40"/>
      <c r="H145" s="40"/>
      <c r="I145" s="28" t="s">
        <v>24</v>
      </c>
      <c r="J145" s="40"/>
      <c r="K145" s="40"/>
      <c r="Q145" s="28" t="s">
        <v>169</v>
      </c>
    </row>
    <row r="146" spans="2:19" ht="15" customHeight="1" x14ac:dyDescent="0.2">
      <c r="D146" s="56"/>
      <c r="H146" s="31" t="s">
        <v>11</v>
      </c>
      <c r="I146" s="32"/>
      <c r="J146" s="32"/>
      <c r="K146" s="33"/>
      <c r="L146" s="31" t="s">
        <v>16</v>
      </c>
      <c r="M146" s="32"/>
      <c r="N146" s="33"/>
      <c r="O146" s="84"/>
      <c r="P146" s="91" t="s">
        <v>56</v>
      </c>
      <c r="Q146" t="s">
        <v>117</v>
      </c>
    </row>
    <row r="147" spans="2:19" ht="15" customHeight="1" x14ac:dyDescent="0.2">
      <c r="C147" s="41"/>
      <c r="D147" s="57"/>
      <c r="F147" s="304" t="s">
        <v>84</v>
      </c>
      <c r="G147" s="301" t="s">
        <v>119</v>
      </c>
      <c r="H147" s="18" t="s">
        <v>12</v>
      </c>
      <c r="I147" s="159" t="s">
        <v>27</v>
      </c>
      <c r="J147" s="9"/>
      <c r="K147" s="10"/>
      <c r="L147" s="18" t="s">
        <v>17</v>
      </c>
      <c r="M147" s="159" t="s">
        <v>40</v>
      </c>
      <c r="N147" s="25"/>
      <c r="O147" s="84"/>
      <c r="P147" s="95" t="s">
        <v>40</v>
      </c>
      <c r="Q147" s="254" t="e">
        <f>P147/M147</f>
        <v>#DIV/0!</v>
      </c>
      <c r="R147" s="254" t="e">
        <f>G147*Q147</f>
        <v>#DIV/0!</v>
      </c>
      <c r="S147" s="267" t="s">
        <v>130</v>
      </c>
    </row>
    <row r="148" spans="2:19" ht="15" customHeight="1" x14ac:dyDescent="0.2">
      <c r="B148" s="256" t="s">
        <v>5</v>
      </c>
      <c r="C148" s="257"/>
      <c r="D148" s="258"/>
      <c r="E148" s="303" t="s">
        <v>21</v>
      </c>
      <c r="F148" s="305" t="s">
        <v>23</v>
      </c>
      <c r="G148" s="302" t="s">
        <v>120</v>
      </c>
      <c r="H148" s="20" t="s">
        <v>13</v>
      </c>
      <c r="I148" s="21" t="s">
        <v>14</v>
      </c>
      <c r="J148" s="1"/>
      <c r="K148" s="22"/>
      <c r="L148" s="20" t="s">
        <v>18</v>
      </c>
      <c r="M148" s="21" t="s">
        <v>19</v>
      </c>
      <c r="N148" s="13"/>
      <c r="O148" s="84" t="s">
        <v>21</v>
      </c>
      <c r="P148" s="113" t="s">
        <v>54</v>
      </c>
      <c r="Q148" s="265" t="s">
        <v>115</v>
      </c>
      <c r="R148" s="265" t="s">
        <v>116</v>
      </c>
    </row>
    <row r="149" spans="2:19" ht="15" customHeight="1" x14ac:dyDescent="0.2">
      <c r="B149" s="259" t="s">
        <v>6</v>
      </c>
      <c r="C149" s="12" t="s">
        <v>9</v>
      </c>
      <c r="D149" s="260">
        <v>2.52</v>
      </c>
      <c r="E149" s="255">
        <v>1</v>
      </c>
      <c r="F149" s="249">
        <v>0.9775574353682559</v>
      </c>
      <c r="G149" s="122">
        <v>1.0736286815657392</v>
      </c>
      <c r="H149" s="34">
        <f>(D150*2.20462*25.4*12)</f>
        <v>3359.8408799999997</v>
      </c>
      <c r="I149" s="5">
        <f>F149*D$149*SQRT(4*D$151*H$149/32.2)/12</f>
        <v>38.666285714285721</v>
      </c>
      <c r="J149" s="1"/>
      <c r="K149" s="22"/>
      <c r="L149" s="96">
        <v>1</v>
      </c>
      <c r="M149" s="92">
        <f>L149*I149</f>
        <v>38.666285714285721</v>
      </c>
      <c r="N149" s="13"/>
      <c r="O149" s="84">
        <v>1</v>
      </c>
      <c r="P149" s="92">
        <f>C129</f>
        <v>38.666285714285721</v>
      </c>
      <c r="Q149" s="254">
        <f>P149/M149</f>
        <v>1</v>
      </c>
      <c r="R149" s="254">
        <f>G149*Q149</f>
        <v>1.0736286815657392</v>
      </c>
      <c r="S149" s="267" t="s">
        <v>138</v>
      </c>
    </row>
    <row r="150" spans="2:19" ht="15" customHeight="1" x14ac:dyDescent="0.2">
      <c r="B150" s="259" t="s">
        <v>7</v>
      </c>
      <c r="C150" s="12" t="s">
        <v>10</v>
      </c>
      <c r="D150" s="444">
        <v>5</v>
      </c>
      <c r="E150" s="255">
        <v>2</v>
      </c>
      <c r="F150" s="250">
        <v>0.78326959258827722</v>
      </c>
      <c r="G150" s="123">
        <v>0.82751292965290768</v>
      </c>
      <c r="H150" s="35"/>
      <c r="I150" s="5">
        <f t="shared" ref="I150:I158" si="30">F150*D$149*SQRT(4*D$151*H$149/32.2)/12</f>
        <v>30.981428571428552</v>
      </c>
      <c r="J150" s="1"/>
      <c r="K150" s="22"/>
      <c r="L150" s="97">
        <v>2</v>
      </c>
      <c r="M150" s="93">
        <f>L150*I150</f>
        <v>61.962857142857104</v>
      </c>
      <c r="N150" s="13"/>
      <c r="O150" s="84">
        <v>2</v>
      </c>
      <c r="P150" s="93">
        <f t="shared" ref="P150:P158" si="31">C130</f>
        <v>61.962857142857104</v>
      </c>
      <c r="Q150" s="254">
        <f t="shared" ref="Q150:Q158" si="32">P150/M150</f>
        <v>1</v>
      </c>
      <c r="R150" s="254">
        <f t="shared" ref="R150:R158" si="33">G150*Q150</f>
        <v>0.82751292965290768</v>
      </c>
      <c r="S150" s="267" t="s">
        <v>139</v>
      </c>
    </row>
    <row r="151" spans="2:19" ht="15" customHeight="1" x14ac:dyDescent="0.2">
      <c r="B151" s="261" t="s">
        <v>8</v>
      </c>
      <c r="C151" s="262" t="s">
        <v>15</v>
      </c>
      <c r="D151" s="263">
        <v>85</v>
      </c>
      <c r="E151" s="255">
        <v>3</v>
      </c>
      <c r="F151" s="249">
        <v>0.68513726902876315</v>
      </c>
      <c r="G151" s="122">
        <v>0.71041917592283754</v>
      </c>
      <c r="H151" s="35"/>
      <c r="I151" s="5">
        <f t="shared" si="30"/>
        <v>27.099904761904753</v>
      </c>
      <c r="J151" s="1"/>
      <c r="K151" s="22"/>
      <c r="L151" s="98">
        <v>3</v>
      </c>
      <c r="M151" s="94">
        <f t="shared" ref="M151:M157" si="34">L151*I151</f>
        <v>81.299714285714259</v>
      </c>
      <c r="N151" s="13"/>
      <c r="O151" s="84">
        <v>3</v>
      </c>
      <c r="P151" s="94">
        <f t="shared" si="31"/>
        <v>81.299714285714259</v>
      </c>
      <c r="Q151" s="254">
        <f t="shared" si="32"/>
        <v>1</v>
      </c>
      <c r="R151" s="254">
        <f t="shared" si="33"/>
        <v>0.71041917592283754</v>
      </c>
    </row>
    <row r="152" spans="2:19" ht="15" customHeight="1" x14ac:dyDescent="0.2">
      <c r="E152" s="30">
        <v>4</v>
      </c>
      <c r="F152" s="249">
        <v>0.62135252281042375</v>
      </c>
      <c r="G152" s="122">
        <v>0.63841780996392428</v>
      </c>
      <c r="H152" s="35"/>
      <c r="I152" s="5">
        <f t="shared" si="30"/>
        <v>24.576964285714293</v>
      </c>
      <c r="J152" s="1"/>
      <c r="K152" s="22"/>
      <c r="L152" s="98">
        <v>4</v>
      </c>
      <c r="M152" s="94">
        <f t="shared" si="34"/>
        <v>98.307857142857173</v>
      </c>
      <c r="N152" s="13"/>
      <c r="O152" s="84">
        <v>4</v>
      </c>
      <c r="P152" s="94">
        <f t="shared" si="31"/>
        <v>98.307857142857159</v>
      </c>
      <c r="Q152" s="254">
        <f t="shared" si="32"/>
        <v>0.99999999999999989</v>
      </c>
      <c r="R152" s="254">
        <f t="shared" si="33"/>
        <v>0.63841780996392417</v>
      </c>
    </row>
    <row r="153" spans="2:19" ht="15" customHeight="1" x14ac:dyDescent="0.2">
      <c r="B153" s="268" t="s">
        <v>132</v>
      </c>
      <c r="E153" s="30">
        <v>5</v>
      </c>
      <c r="F153" s="250">
        <v>0.57892171788504931</v>
      </c>
      <c r="G153" s="123">
        <v>0.59206830946996825</v>
      </c>
      <c r="H153" s="35"/>
      <c r="I153" s="5">
        <f t="shared" si="30"/>
        <v>22.89865714285715</v>
      </c>
      <c r="J153" s="1"/>
      <c r="K153" s="22"/>
      <c r="L153" s="97">
        <v>5</v>
      </c>
      <c r="M153" s="93">
        <f t="shared" si="34"/>
        <v>114.49328571428575</v>
      </c>
      <c r="N153" s="13"/>
      <c r="O153" s="84">
        <v>5</v>
      </c>
      <c r="P153" s="93">
        <f t="shared" si="31"/>
        <v>114.49328571428578</v>
      </c>
      <c r="Q153" s="254">
        <f t="shared" si="32"/>
        <v>1.0000000000000002</v>
      </c>
      <c r="R153" s="254">
        <f t="shared" si="33"/>
        <v>0.59206830946996836</v>
      </c>
    </row>
    <row r="154" spans="2:19" ht="15" customHeight="1" x14ac:dyDescent="0.2">
      <c r="B154" s="42" t="s">
        <v>131</v>
      </c>
      <c r="E154" s="30">
        <v>10</v>
      </c>
      <c r="F154" s="249">
        <v>0.46742128508021069</v>
      </c>
      <c r="G154" s="122">
        <v>0.47424739994161091</v>
      </c>
      <c r="H154" s="35"/>
      <c r="I154" s="5">
        <f t="shared" si="30"/>
        <v>18.48837142857143</v>
      </c>
      <c r="J154" s="1"/>
      <c r="K154" s="22"/>
      <c r="L154" s="98">
        <v>10</v>
      </c>
      <c r="M154" s="94">
        <f t="shared" si="34"/>
        <v>184.88371428571429</v>
      </c>
      <c r="N154" s="13"/>
      <c r="O154" s="84">
        <v>10</v>
      </c>
      <c r="P154" s="94">
        <f t="shared" si="31"/>
        <v>184.88371428571429</v>
      </c>
      <c r="Q154" s="254">
        <f t="shared" si="32"/>
        <v>1</v>
      </c>
      <c r="R154" s="254">
        <f t="shared" si="33"/>
        <v>0.47424739994161091</v>
      </c>
    </row>
    <row r="155" spans="2:19" ht="15" customHeight="1" x14ac:dyDescent="0.2">
      <c r="E155" s="30">
        <v>20</v>
      </c>
      <c r="F155" s="249">
        <v>0.38658708299768774</v>
      </c>
      <c r="G155" s="122">
        <v>0.38987373089391753</v>
      </c>
      <c r="H155" s="35"/>
      <c r="I155" s="5">
        <f t="shared" si="30"/>
        <v>15.291057142857147</v>
      </c>
      <c r="J155" s="1"/>
      <c r="K155" s="22"/>
      <c r="L155" s="98">
        <v>20</v>
      </c>
      <c r="M155" s="94">
        <f t="shared" si="34"/>
        <v>305.82114285714295</v>
      </c>
      <c r="N155" s="13"/>
      <c r="O155" s="84">
        <v>20</v>
      </c>
      <c r="P155" s="94">
        <f t="shared" si="31"/>
        <v>305.82114285714295</v>
      </c>
      <c r="Q155" s="254">
        <f t="shared" si="32"/>
        <v>1</v>
      </c>
      <c r="R155" s="254">
        <f t="shared" si="33"/>
        <v>0.38987373089391753</v>
      </c>
    </row>
    <row r="156" spans="2:19" ht="15" customHeight="1" x14ac:dyDescent="0.2">
      <c r="E156" s="30">
        <v>30</v>
      </c>
      <c r="F156" s="249">
        <v>0.34302431078863921</v>
      </c>
      <c r="G156" s="122">
        <v>0.34555250147804667</v>
      </c>
      <c r="H156" s="35"/>
      <c r="I156" s="5">
        <f t="shared" si="30"/>
        <v>13.567976190476193</v>
      </c>
      <c r="J156" s="1"/>
      <c r="K156" s="22"/>
      <c r="L156" s="98">
        <v>30</v>
      </c>
      <c r="M156" s="94">
        <f>L156*I156</f>
        <v>407.03928571428577</v>
      </c>
      <c r="N156" s="13"/>
      <c r="O156" s="84">
        <v>30</v>
      </c>
      <c r="P156" s="94">
        <f t="shared" si="31"/>
        <v>407.03928571428582</v>
      </c>
      <c r="Q156" s="254">
        <f t="shared" si="32"/>
        <v>1.0000000000000002</v>
      </c>
      <c r="R156" s="254">
        <f t="shared" si="33"/>
        <v>0.34555250147804673</v>
      </c>
    </row>
    <row r="157" spans="2:19" ht="15" customHeight="1" x14ac:dyDescent="0.2">
      <c r="E157" s="30">
        <v>40</v>
      </c>
      <c r="F157" s="249">
        <v>0.31549237437600836</v>
      </c>
      <c r="G157" s="122">
        <v>0.31808376983265096</v>
      </c>
      <c r="H157" s="35"/>
      <c r="I157" s="5">
        <f t="shared" si="30"/>
        <v>12.47897857142857</v>
      </c>
      <c r="J157" s="1"/>
      <c r="K157" s="22"/>
      <c r="L157" s="98">
        <v>40</v>
      </c>
      <c r="M157" s="94">
        <f t="shared" si="34"/>
        <v>499.1591428571428</v>
      </c>
      <c r="N157" s="13"/>
      <c r="O157" s="84">
        <v>40</v>
      </c>
      <c r="P157" s="126">
        <f t="shared" si="31"/>
        <v>499.1591428571428</v>
      </c>
      <c r="Q157" s="254">
        <f t="shared" si="32"/>
        <v>1</v>
      </c>
      <c r="R157" s="254">
        <f t="shared" si="33"/>
        <v>0.31808376983265096</v>
      </c>
    </row>
    <row r="158" spans="2:19" ht="15" customHeight="1" x14ac:dyDescent="0.2">
      <c r="E158" s="30">
        <v>50</v>
      </c>
      <c r="F158" s="250">
        <v>0.29754059521577231</v>
      </c>
      <c r="G158" s="123">
        <v>0.30042273260169677</v>
      </c>
      <c r="H158" s="36"/>
      <c r="I158" s="23">
        <f t="shared" si="30"/>
        <v>11.768914285714288</v>
      </c>
      <c r="J158" s="24"/>
      <c r="K158" s="17"/>
      <c r="L158" s="99">
        <v>50</v>
      </c>
      <c r="M158" s="100">
        <f>L158*I158</f>
        <v>588.44571428571442</v>
      </c>
      <c r="N158" s="16"/>
      <c r="O158" s="107">
        <v>50</v>
      </c>
      <c r="P158" s="127">
        <f t="shared" si="31"/>
        <v>588.4457142857143</v>
      </c>
      <c r="Q158" s="254">
        <f t="shared" si="32"/>
        <v>0.99999999999999978</v>
      </c>
      <c r="R158" s="254">
        <f t="shared" si="33"/>
        <v>0.30042273260169672</v>
      </c>
    </row>
    <row r="159" spans="2:19" ht="15" customHeight="1" thickBot="1" x14ac:dyDescent="0.25">
      <c r="E159" s="2"/>
      <c r="F159" s="160"/>
      <c r="G159" s="160"/>
      <c r="H159" s="40"/>
      <c r="I159" s="161"/>
      <c r="J159" s="40"/>
      <c r="K159" s="40"/>
      <c r="L159" s="162"/>
      <c r="M159" s="162"/>
      <c r="N159" s="66"/>
      <c r="O159" s="163"/>
      <c r="P159" s="162"/>
    </row>
    <row r="160" spans="2:19" ht="15" customHeight="1" x14ac:dyDescent="0.2">
      <c r="E160" s="560"/>
      <c r="F160" s="561"/>
      <c r="G160" s="562"/>
      <c r="H160" s="563"/>
      <c r="I160" s="564"/>
      <c r="J160" s="563"/>
      <c r="K160" s="565"/>
      <c r="L160" s="566"/>
      <c r="M160" s="567"/>
      <c r="N160" s="322" t="s">
        <v>167</v>
      </c>
      <c r="P160" s="162"/>
    </row>
    <row r="161" spans="1:19" ht="15" customHeight="1" thickBot="1" x14ac:dyDescent="0.25">
      <c r="E161" s="568" t="s">
        <v>423</v>
      </c>
      <c r="F161" s="569"/>
      <c r="G161" s="570"/>
      <c r="H161" s="570"/>
      <c r="I161" s="570"/>
      <c r="J161" s="570"/>
      <c r="K161" s="570"/>
      <c r="L161" s="570"/>
      <c r="M161" s="571"/>
      <c r="P161" s="41"/>
    </row>
    <row r="162" spans="1:19" ht="15" customHeight="1" x14ac:dyDescent="0.2">
      <c r="A162" s="90" t="s">
        <v>85</v>
      </c>
      <c r="B162" s="64" t="s">
        <v>86</v>
      </c>
    </row>
    <row r="163" spans="1:19" ht="15" customHeight="1" x14ac:dyDescent="0.2">
      <c r="B163" s="64" t="s">
        <v>372</v>
      </c>
    </row>
    <row r="164" spans="1:19" ht="15" customHeight="1" x14ac:dyDescent="0.2"/>
    <row r="165" spans="1:19" ht="15" customHeight="1" x14ac:dyDescent="0.2">
      <c r="B165" s="90"/>
      <c r="F165" s="1"/>
    </row>
    <row r="166" spans="1:19" ht="15" customHeight="1" x14ac:dyDescent="0.2">
      <c r="B166" s="64"/>
      <c r="J166" s="64" t="s">
        <v>88</v>
      </c>
    </row>
    <row r="167" spans="1:19" ht="15" customHeight="1" x14ac:dyDescent="0.2">
      <c r="B167" s="90"/>
      <c r="H167" s="502" t="s">
        <v>373</v>
      </c>
    </row>
    <row r="168" spans="1:19" ht="15" customHeight="1" x14ac:dyDescent="0.2">
      <c r="F168" s="117" t="s">
        <v>56</v>
      </c>
      <c r="L168" s="164" t="s">
        <v>90</v>
      </c>
      <c r="P168" s="404"/>
      <c r="S168" s="174" t="s">
        <v>97</v>
      </c>
    </row>
    <row r="169" spans="1:19" ht="15" customHeight="1" x14ac:dyDescent="0.2">
      <c r="F169" s="117" t="s">
        <v>33</v>
      </c>
      <c r="H169" s="173" t="s">
        <v>33</v>
      </c>
      <c r="L169" s="65">
        <v>1</v>
      </c>
      <c r="M169" s="52" t="s">
        <v>12</v>
      </c>
      <c r="N169" s="124" t="s">
        <v>27</v>
      </c>
      <c r="O169" s="52" t="s">
        <v>33</v>
      </c>
      <c r="P169" s="102" t="s">
        <v>52</v>
      </c>
      <c r="S169" s="421" t="str">
        <f>J99</f>
        <v>aver</v>
      </c>
    </row>
    <row r="170" spans="1:19" ht="15" customHeight="1" x14ac:dyDescent="0.2">
      <c r="B170" s="269">
        <f>D149</f>
        <v>2.52</v>
      </c>
      <c r="C170" s="78" t="s">
        <v>3</v>
      </c>
      <c r="D170" s="10"/>
      <c r="E170" s="3" t="s">
        <v>2</v>
      </c>
      <c r="F170" s="117" t="s">
        <v>72</v>
      </c>
      <c r="G170" s="29" t="s">
        <v>20</v>
      </c>
      <c r="H170" s="4" t="s">
        <v>25</v>
      </c>
      <c r="J170" s="38" t="s">
        <v>60</v>
      </c>
      <c r="K170" s="3" t="s">
        <v>2</v>
      </c>
      <c r="L170" s="548" t="s">
        <v>25</v>
      </c>
      <c r="M170" s="21" t="s">
        <v>13</v>
      </c>
      <c r="N170" s="125" t="s">
        <v>61</v>
      </c>
      <c r="O170" s="21" t="s">
        <v>19</v>
      </c>
      <c r="P170" s="102" t="s">
        <v>36</v>
      </c>
      <c r="Q170" s="165" t="s">
        <v>96</v>
      </c>
      <c r="R170" s="165" t="s">
        <v>59</v>
      </c>
      <c r="S170" s="172" t="s">
        <v>28</v>
      </c>
    </row>
    <row r="171" spans="1:19" ht="15" customHeight="1" x14ac:dyDescent="0.2">
      <c r="B171" s="443">
        <f t="shared" ref="B171:B172" si="35">D150</f>
        <v>5</v>
      </c>
      <c r="C171" s="1" t="s">
        <v>0</v>
      </c>
      <c r="D171" s="22"/>
      <c r="E171" s="71">
        <v>1</v>
      </c>
      <c r="F171" s="55">
        <f>F129</f>
        <v>22.354285714285723</v>
      </c>
      <c r="G171" s="46">
        <f>F171/E171</f>
        <v>22.354285714285723</v>
      </c>
      <c r="H171" s="63">
        <f t="shared" ref="H171:H180" si="36">SQRT(12*32.2*G171^2/(4*$B$172*($B$171*56)*$B$170^2))</f>
        <v>0.56514558779663082</v>
      </c>
      <c r="J171" s="63">
        <v>0.56514558779663082</v>
      </c>
      <c r="K171" s="71">
        <v>1</v>
      </c>
      <c r="L171" s="549">
        <f>J171*$L$169</f>
        <v>0.56514558779663082</v>
      </c>
      <c r="M171" s="5">
        <f>(B171*2.20462*25.4*12)</f>
        <v>3359.8408799999997</v>
      </c>
      <c r="N171" s="74">
        <f t="shared" ref="N171:N180" si="37">L171*B$170*SQRT(4*B$172*M$171/32.2)/12</f>
        <v>22.353756390467808</v>
      </c>
      <c r="O171" s="74">
        <f>K171*N171</f>
        <v>22.353756390467808</v>
      </c>
      <c r="P171" s="402">
        <f t="shared" ref="P171:P180" si="38">M101</f>
        <v>1.0139570552147239</v>
      </c>
      <c r="Q171" s="60">
        <f>P171*O171</f>
        <v>22.665749002666054</v>
      </c>
      <c r="R171" s="166">
        <f>Q171-O171</f>
        <v>0.31199261219824592</v>
      </c>
      <c r="S171" s="169">
        <f>R171/Q171</f>
        <v>1.3764937225835681E-2</v>
      </c>
    </row>
    <row r="172" spans="1:19" ht="15" customHeight="1" x14ac:dyDescent="0.2">
      <c r="B172" s="271">
        <f t="shared" si="35"/>
        <v>85</v>
      </c>
      <c r="C172" s="77" t="s">
        <v>1</v>
      </c>
      <c r="D172" s="17"/>
      <c r="E172" s="70">
        <v>2</v>
      </c>
      <c r="F172" s="54">
        <f t="shared" ref="F172:F180" si="39">F130</f>
        <v>44.582857142857115</v>
      </c>
      <c r="G172" s="45">
        <f t="shared" ref="G172:G180" si="40">F172/E172</f>
        <v>22.291428571428558</v>
      </c>
      <c r="H172" s="62">
        <f t="shared" si="36"/>
        <v>0.56355647699249867</v>
      </c>
      <c r="J172" s="62">
        <v>0.56355647699249867</v>
      </c>
      <c r="K172" s="70">
        <v>2</v>
      </c>
      <c r="L172" s="550">
        <f t="shared" ref="L172:L180" si="41">J172*$L$169</f>
        <v>0.56355647699249867</v>
      </c>
      <c r="N172" s="73">
        <f t="shared" si="37"/>
        <v>22.290900735995617</v>
      </c>
      <c r="O172" s="73">
        <f t="shared" ref="O172:O180" si="42">K172*N172</f>
        <v>44.581801471991234</v>
      </c>
      <c r="P172" s="402">
        <f t="shared" si="38"/>
        <v>1.0309536016406051</v>
      </c>
      <c r="Q172" s="59">
        <f t="shared" ref="Q172:Q180" si="43">P172*O172</f>
        <v>45.961768795175793</v>
      </c>
      <c r="R172" s="167">
        <f t="shared" ref="R172:R180" si="44">Q172-O172</f>
        <v>1.3799673231845588</v>
      </c>
      <c r="S172" s="170">
        <f t="shared" ref="S172:S180" si="45">R172/Q172</f>
        <v>3.0024243177721264E-2</v>
      </c>
    </row>
    <row r="173" spans="1:19" ht="15" customHeight="1" x14ac:dyDescent="0.2">
      <c r="E173" s="69">
        <v>3</v>
      </c>
      <c r="F173" s="50">
        <f t="shared" si="39"/>
        <v>62.325714285714263</v>
      </c>
      <c r="G173" s="44">
        <f t="shared" si="40"/>
        <v>20.775238095238088</v>
      </c>
      <c r="H173" s="61">
        <f t="shared" si="36"/>
        <v>0.52522519820192981</v>
      </c>
      <c r="J173" s="61">
        <v>0.52522519820192981</v>
      </c>
      <c r="K173" s="69">
        <v>3</v>
      </c>
      <c r="L173" s="551">
        <f t="shared" si="41"/>
        <v>0.52522519820192981</v>
      </c>
      <c r="N173" s="72">
        <f t="shared" si="37"/>
        <v>20.77474616145469</v>
      </c>
      <c r="O173" s="72">
        <f>K173*N173</f>
        <v>62.324238484364074</v>
      </c>
      <c r="P173" s="402">
        <f t="shared" si="38"/>
        <v>1.0477170624369669</v>
      </c>
      <c r="Q173" s="58">
        <f t="shared" si="43"/>
        <v>65.298168063458888</v>
      </c>
      <c r="R173" s="168">
        <f>Q173-O173</f>
        <v>2.9739295790948148</v>
      </c>
      <c r="S173" s="171">
        <f t="shared" si="45"/>
        <v>4.5543843989691302E-2</v>
      </c>
    </row>
    <row r="174" spans="1:19" ht="15" customHeight="1" x14ac:dyDescent="0.2">
      <c r="E174" s="69">
        <v>4</v>
      </c>
      <c r="F174" s="50">
        <f t="shared" si="39"/>
        <v>77.282857142857154</v>
      </c>
      <c r="G174" s="44">
        <f t="shared" si="40"/>
        <v>19.320714285714288</v>
      </c>
      <c r="H174" s="61">
        <f t="shared" si="36"/>
        <v>0.48845293341995982</v>
      </c>
      <c r="J174" s="61">
        <v>0.48845293341995982</v>
      </c>
      <c r="K174" s="69">
        <v>4</v>
      </c>
      <c r="L174" s="551">
        <f t="shared" si="41"/>
        <v>0.48845293341995982</v>
      </c>
      <c r="N174" s="72">
        <f t="shared" si="37"/>
        <v>19.320256793384573</v>
      </c>
      <c r="O174" s="72">
        <f t="shared" si="42"/>
        <v>77.281027173538291</v>
      </c>
      <c r="P174" s="402">
        <f t="shared" si="38"/>
        <v>1.0650208880180414</v>
      </c>
      <c r="Q174" s="58">
        <f t="shared" si="43"/>
        <v>82.305908187308134</v>
      </c>
      <c r="R174" s="168">
        <f>Q174-O174</f>
        <v>5.0248810137698428</v>
      </c>
      <c r="S174" s="171">
        <f t="shared" si="45"/>
        <v>6.1051279603578902E-2</v>
      </c>
    </row>
    <row r="175" spans="1:19" ht="15" customHeight="1" x14ac:dyDescent="0.2">
      <c r="E175" s="70">
        <v>5</v>
      </c>
      <c r="F175" s="54">
        <f t="shared" si="39"/>
        <v>91.154285714285763</v>
      </c>
      <c r="G175" s="45">
        <f t="shared" si="40"/>
        <v>18.230857142857154</v>
      </c>
      <c r="H175" s="62">
        <f t="shared" si="36"/>
        <v>0.46089991904559602</v>
      </c>
      <c r="J175" s="62">
        <v>0.46089991904559602</v>
      </c>
      <c r="K175" s="70">
        <v>5</v>
      </c>
      <c r="L175" s="550">
        <f t="shared" si="41"/>
        <v>0.46089991904559602</v>
      </c>
      <c r="N175" s="73">
        <f t="shared" si="37"/>
        <v>18.230425457093183</v>
      </c>
      <c r="O175" s="73">
        <f t="shared" si="42"/>
        <v>91.152127285465923</v>
      </c>
      <c r="P175" s="402">
        <f t="shared" si="38"/>
        <v>1.0805118480441323</v>
      </c>
      <c r="Q175" s="59">
        <f t="shared" si="43"/>
        <v>98.490953506372762</v>
      </c>
      <c r="R175" s="167">
        <f t="shared" si="44"/>
        <v>7.3388262209068387</v>
      </c>
      <c r="S175" s="170">
        <f t="shared" si="45"/>
        <v>7.4512693396068974E-2</v>
      </c>
    </row>
    <row r="176" spans="1:19" ht="15" customHeight="1" x14ac:dyDescent="0.2">
      <c r="E176" s="69">
        <v>10</v>
      </c>
      <c r="F176" s="50">
        <f t="shared" si="39"/>
        <v>150.71571428571431</v>
      </c>
      <c r="G176" s="44">
        <f t="shared" si="40"/>
        <v>15.071571428571431</v>
      </c>
      <c r="H176" s="61">
        <f t="shared" si="36"/>
        <v>0.38102904306066165</v>
      </c>
      <c r="J176" s="61">
        <v>0.38102904306066165</v>
      </c>
      <c r="K176" s="75">
        <v>10</v>
      </c>
      <c r="L176" s="551">
        <f t="shared" si="41"/>
        <v>0.38102904306066165</v>
      </c>
      <c r="M176" s="41"/>
      <c r="N176" s="76">
        <f t="shared" si="37"/>
        <v>15.071214551065593</v>
      </c>
      <c r="O176" s="76">
        <f t="shared" si="42"/>
        <v>150.71214551065592</v>
      </c>
      <c r="P176" s="402">
        <f t="shared" si="38"/>
        <v>1.1205448289589672</v>
      </c>
      <c r="Q176" s="58">
        <f t="shared" si="43"/>
        <v>168.8797153132769</v>
      </c>
      <c r="R176" s="168">
        <f t="shared" si="44"/>
        <v>18.167569802620989</v>
      </c>
      <c r="S176" s="171">
        <f t="shared" si="45"/>
        <v>0.10757698027213988</v>
      </c>
    </row>
    <row r="177" spans="2:19" ht="15" customHeight="1" x14ac:dyDescent="0.2">
      <c r="E177" s="69">
        <v>20</v>
      </c>
      <c r="F177" s="50">
        <f t="shared" si="39"/>
        <v>252.13714285714292</v>
      </c>
      <c r="G177" s="44">
        <f t="shared" si="40"/>
        <v>12.606857142857146</v>
      </c>
      <c r="H177" s="61">
        <f t="shared" si="36"/>
        <v>0.3187178414613821</v>
      </c>
      <c r="J177" s="61">
        <v>0.3187178414613821</v>
      </c>
      <c r="K177" s="69">
        <v>20</v>
      </c>
      <c r="L177" s="551">
        <f t="shared" si="41"/>
        <v>0.3187178414613821</v>
      </c>
      <c r="N177" s="72">
        <f t="shared" si="37"/>
        <v>12.606558626955541</v>
      </c>
      <c r="O177" s="72">
        <f t="shared" si="42"/>
        <v>252.13117253911082</v>
      </c>
      <c r="P177" s="402">
        <f t="shared" si="38"/>
        <v>1.149458344665035</v>
      </c>
      <c r="Q177" s="58">
        <f t="shared" si="43"/>
        <v>289.81428022526069</v>
      </c>
      <c r="R177" s="168">
        <f t="shared" si="44"/>
        <v>37.683107686149867</v>
      </c>
      <c r="S177" s="171">
        <f t="shared" si="45"/>
        <v>0.13002502035738314</v>
      </c>
    </row>
    <row r="178" spans="2:19" ht="15" customHeight="1" x14ac:dyDescent="0.2">
      <c r="E178" s="69">
        <v>30</v>
      </c>
      <c r="F178" s="50">
        <f t="shared" si="39"/>
        <v>340.1942857142858</v>
      </c>
      <c r="G178" s="44">
        <f t="shared" si="40"/>
        <v>11.339809523809526</v>
      </c>
      <c r="H178" s="61">
        <f t="shared" si="36"/>
        <v>0.28668522003991659</v>
      </c>
      <c r="J178" s="61">
        <v>0.28668522003991659</v>
      </c>
      <c r="K178" s="69">
        <v>30</v>
      </c>
      <c r="L178" s="551">
        <f t="shared" si="41"/>
        <v>0.28668522003991659</v>
      </c>
      <c r="N178" s="72">
        <f t="shared" si="37"/>
        <v>11.33954101014068</v>
      </c>
      <c r="O178" s="72">
        <f t="shared" si="42"/>
        <v>340.18623030422037</v>
      </c>
      <c r="P178" s="402">
        <f t="shared" si="38"/>
        <v>1.1494587126683913</v>
      </c>
      <c r="Q178" s="58">
        <f t="shared" si="43"/>
        <v>391.03002635300203</v>
      </c>
      <c r="R178" s="168">
        <f t="shared" si="44"/>
        <v>50.843796048781655</v>
      </c>
      <c r="S178" s="171">
        <f t="shared" si="45"/>
        <v>0.13002529888301328</v>
      </c>
    </row>
    <row r="179" spans="2:19" ht="15" customHeight="1" x14ac:dyDescent="0.2">
      <c r="E179" s="69">
        <v>40</v>
      </c>
      <c r="F179" s="50">
        <f t="shared" si="39"/>
        <v>420.33714285714279</v>
      </c>
      <c r="G179" s="44">
        <f t="shared" si="40"/>
        <v>10.508428571428571</v>
      </c>
      <c r="H179" s="61">
        <f t="shared" si="36"/>
        <v>0.2656668219116331</v>
      </c>
      <c r="J179" s="61">
        <v>0.2656668219116331</v>
      </c>
      <c r="K179" s="69">
        <v>40</v>
      </c>
      <c r="L179" s="551">
        <f t="shared" si="41"/>
        <v>0.2656668219116331</v>
      </c>
      <c r="N179" s="72">
        <f t="shared" si="37"/>
        <v>10.508179743906064</v>
      </c>
      <c r="O179" s="72">
        <f t="shared" si="42"/>
        <v>420.32718975624255</v>
      </c>
      <c r="P179" s="402">
        <f t="shared" si="38"/>
        <v>1.1494562188175479</v>
      </c>
      <c r="Q179" s="58">
        <f t="shared" si="43"/>
        <v>483.14770220341649</v>
      </c>
      <c r="R179" s="168">
        <f t="shared" si="44"/>
        <v>62.82051244717394</v>
      </c>
      <c r="S179" s="171">
        <f t="shared" si="45"/>
        <v>0.13002341139299267</v>
      </c>
    </row>
    <row r="180" spans="2:19" ht="15" customHeight="1" thickBot="1" x14ac:dyDescent="0.25">
      <c r="E180" s="70">
        <v>50</v>
      </c>
      <c r="F180" s="54">
        <f t="shared" si="39"/>
        <v>498.01571428571424</v>
      </c>
      <c r="G180" s="45">
        <f t="shared" si="40"/>
        <v>9.9603142857142846</v>
      </c>
      <c r="H180" s="62">
        <f t="shared" si="36"/>
        <v>0.25180977569960528</v>
      </c>
      <c r="J180" s="62">
        <v>0.25180977569960528</v>
      </c>
      <c r="K180" s="70">
        <v>50</v>
      </c>
      <c r="L180" s="556">
        <f t="shared" si="41"/>
        <v>0.25180977569960528</v>
      </c>
      <c r="N180" s="73">
        <f t="shared" si="37"/>
        <v>9.9600784369087041</v>
      </c>
      <c r="O180" s="73">
        <f t="shared" si="42"/>
        <v>498.00392184543523</v>
      </c>
      <c r="P180" s="403">
        <f t="shared" si="38"/>
        <v>1.1494531153635428</v>
      </c>
      <c r="Q180" s="59">
        <f t="shared" si="43"/>
        <v>572.43215942849781</v>
      </c>
      <c r="R180" s="167">
        <f t="shared" si="44"/>
        <v>74.428237583062582</v>
      </c>
      <c r="S180" s="170">
        <f t="shared" si="45"/>
        <v>0.13002106250873449</v>
      </c>
    </row>
    <row r="181" spans="2:19" ht="15" customHeight="1" x14ac:dyDescent="0.2">
      <c r="E181" s="323"/>
      <c r="F181" s="324"/>
      <c r="G181" s="323"/>
      <c r="H181" s="325"/>
      <c r="I181" s="41"/>
      <c r="J181" s="325"/>
      <c r="K181" s="560"/>
      <c r="L181" s="561"/>
      <c r="M181" s="563"/>
      <c r="N181" s="578"/>
      <c r="O181" s="579"/>
      <c r="P181" s="326"/>
      <c r="Q181" s="324"/>
      <c r="R181" s="324"/>
      <c r="S181" s="327"/>
    </row>
    <row r="182" spans="2:19" ht="15" customHeight="1" thickBot="1" x14ac:dyDescent="0.25">
      <c r="E182" s="323"/>
      <c r="F182" s="324"/>
      <c r="G182" s="323"/>
      <c r="H182" s="325"/>
      <c r="I182" s="41"/>
      <c r="J182" s="325"/>
      <c r="K182" s="568" t="s">
        <v>421</v>
      </c>
      <c r="L182" s="569"/>
      <c r="M182" s="570"/>
      <c r="N182" s="580"/>
      <c r="O182" s="581"/>
      <c r="P182" s="326"/>
      <c r="Q182" s="504" t="s">
        <v>378</v>
      </c>
      <c r="S182" s="327"/>
    </row>
    <row r="183" spans="2:19" ht="15" customHeight="1" x14ac:dyDescent="0.2">
      <c r="E183" s="323"/>
      <c r="F183" s="324"/>
      <c r="G183" s="323"/>
      <c r="H183" s="325"/>
      <c r="I183" s="41"/>
      <c r="J183" s="325"/>
      <c r="K183" s="323"/>
      <c r="L183" s="325"/>
      <c r="M183" s="41"/>
      <c r="N183" s="324"/>
      <c r="O183" s="324"/>
      <c r="P183" s="326"/>
      <c r="Q183" s="324"/>
      <c r="R183" s="311" t="s">
        <v>313</v>
      </c>
      <c r="S183" s="327"/>
    </row>
    <row r="184" spans="2:19" ht="15" customHeight="1" x14ac:dyDescent="0.2">
      <c r="E184" s="323"/>
      <c r="F184" s="324"/>
      <c r="G184" s="323"/>
      <c r="H184" s="325"/>
      <c r="I184" s="41"/>
      <c r="J184" s="325"/>
      <c r="K184" s="323"/>
      <c r="L184" s="325"/>
      <c r="M184" s="41"/>
      <c r="N184" s="324"/>
      <c r="O184" s="324"/>
      <c r="P184" s="326"/>
      <c r="Q184" s="324"/>
      <c r="R184" s="311" t="s">
        <v>53</v>
      </c>
      <c r="S184" s="327"/>
    </row>
    <row r="185" spans="2:19" ht="15" customHeight="1" x14ac:dyDescent="0.2">
      <c r="E185" s="323"/>
      <c r="F185" s="324"/>
      <c r="G185" s="323"/>
      <c r="H185" s="325"/>
      <c r="I185" s="41"/>
      <c r="J185" s="325"/>
      <c r="K185" s="323"/>
      <c r="L185" s="325"/>
      <c r="M185" s="41"/>
      <c r="N185" s="324"/>
      <c r="O185" s="324"/>
      <c r="P185" s="326"/>
      <c r="Q185" s="324"/>
      <c r="R185" s="425">
        <f t="shared" ref="R185:R194" si="46">E101</f>
        <v>0.312</v>
      </c>
      <c r="S185" s="327"/>
    </row>
    <row r="186" spans="2:19" ht="15" customHeight="1" x14ac:dyDescent="0.2">
      <c r="E186" s="323"/>
      <c r="F186" s="324"/>
      <c r="G186" s="323"/>
      <c r="H186" s="325"/>
      <c r="I186" s="41"/>
      <c r="J186" s="325"/>
      <c r="K186" s="323"/>
      <c r="L186" s="325"/>
      <c r="M186" s="41"/>
      <c r="N186" s="324"/>
      <c r="O186" s="324"/>
      <c r="P186" s="326"/>
      <c r="Q186" s="324"/>
      <c r="R186" s="167">
        <f t="shared" si="46"/>
        <v>1.38</v>
      </c>
      <c r="S186" s="327"/>
    </row>
    <row r="187" spans="2:19" ht="15" customHeight="1" x14ac:dyDescent="0.2">
      <c r="R187" s="168">
        <f t="shared" si="46"/>
        <v>2.9740000000000002</v>
      </c>
    </row>
    <row r="188" spans="2:19" ht="15" customHeight="1" x14ac:dyDescent="0.2">
      <c r="R188" s="168">
        <f t="shared" si="46"/>
        <v>5.0250000000000004</v>
      </c>
    </row>
    <row r="189" spans="2:19" ht="15" customHeight="1" x14ac:dyDescent="0.2">
      <c r="R189" s="167">
        <f t="shared" si="46"/>
        <v>7.3390000000000004</v>
      </c>
    </row>
    <row r="190" spans="2:19" ht="15" customHeight="1" x14ac:dyDescent="0.2">
      <c r="R190" s="168">
        <f t="shared" si="46"/>
        <v>18.167999999999999</v>
      </c>
    </row>
    <row r="191" spans="2:19" ht="15" customHeight="1" x14ac:dyDescent="0.2">
      <c r="F191" s="41"/>
      <c r="G191" s="41"/>
      <c r="H191" s="41"/>
      <c r="I191" s="41"/>
      <c r="J191" s="41"/>
      <c r="K191" s="41"/>
      <c r="L191" s="41"/>
      <c r="M191" s="41"/>
      <c r="N191" s="41"/>
      <c r="O191" s="41"/>
      <c r="P191" s="41"/>
      <c r="R191" s="168">
        <f t="shared" si="46"/>
        <v>37.683999999999997</v>
      </c>
    </row>
    <row r="192" spans="2:19" ht="15" customHeight="1" x14ac:dyDescent="0.2">
      <c r="B192" s="90"/>
      <c r="R192" s="168">
        <f t="shared" si="46"/>
        <v>50.844999999999999</v>
      </c>
    </row>
    <row r="193" spans="1:18" ht="15" customHeight="1" x14ac:dyDescent="0.2">
      <c r="A193" s="90" t="s">
        <v>95</v>
      </c>
      <c r="B193" s="64" t="s">
        <v>178</v>
      </c>
      <c r="R193" s="168">
        <f t="shared" si="46"/>
        <v>62.822000000000003</v>
      </c>
    </row>
    <row r="194" spans="1:18" ht="15" customHeight="1" x14ac:dyDescent="0.2">
      <c r="R194" s="167">
        <f t="shared" si="46"/>
        <v>74.430000000000007</v>
      </c>
    </row>
    <row r="195" spans="1:18" ht="15" customHeight="1" x14ac:dyDescent="0.2">
      <c r="B195" s="90"/>
    </row>
    <row r="196" spans="1:18" ht="15" customHeight="1" x14ac:dyDescent="0.2">
      <c r="B196" s="64"/>
      <c r="J196" s="64" t="s">
        <v>88</v>
      </c>
    </row>
    <row r="197" spans="1:18" ht="15" customHeight="1" x14ac:dyDescent="0.2">
      <c r="B197" s="90"/>
      <c r="H197" s="502" t="s">
        <v>373</v>
      </c>
    </row>
    <row r="198" spans="1:18" ht="15" customHeight="1" x14ac:dyDescent="0.2">
      <c r="F198" s="117" t="s">
        <v>56</v>
      </c>
      <c r="L198" s="164" t="s">
        <v>90</v>
      </c>
    </row>
    <row r="199" spans="1:18" ht="15" customHeight="1" x14ac:dyDescent="0.2">
      <c r="F199" s="117" t="s">
        <v>35</v>
      </c>
      <c r="H199" s="173" t="s">
        <v>33</v>
      </c>
      <c r="L199" s="65">
        <v>1</v>
      </c>
      <c r="M199" s="52" t="s">
        <v>12</v>
      </c>
      <c r="N199" s="124" t="s">
        <v>27</v>
      </c>
      <c r="O199" s="181" t="s">
        <v>35</v>
      </c>
      <c r="Q199" s="311" t="s">
        <v>313</v>
      </c>
    </row>
    <row r="200" spans="1:18" ht="15" customHeight="1" x14ac:dyDescent="0.2">
      <c r="B200" s="269">
        <f>D149</f>
        <v>2.52</v>
      </c>
      <c r="C200" s="78" t="s">
        <v>3</v>
      </c>
      <c r="D200" s="10"/>
      <c r="E200" s="3" t="s">
        <v>2</v>
      </c>
      <c r="F200" s="117" t="s">
        <v>72</v>
      </c>
      <c r="G200" s="29" t="s">
        <v>20</v>
      </c>
      <c r="H200" s="4" t="s">
        <v>25</v>
      </c>
      <c r="J200" s="38" t="s">
        <v>60</v>
      </c>
      <c r="K200" s="3" t="s">
        <v>2</v>
      </c>
      <c r="L200" s="548" t="s">
        <v>25</v>
      </c>
      <c r="M200" s="21" t="s">
        <v>13</v>
      </c>
      <c r="N200" s="125" t="s">
        <v>61</v>
      </c>
      <c r="O200" s="21" t="s">
        <v>19</v>
      </c>
      <c r="Q200" s="311" t="s">
        <v>53</v>
      </c>
    </row>
    <row r="201" spans="1:18" ht="15" customHeight="1" x14ac:dyDescent="0.2">
      <c r="B201" s="443">
        <f>D150</f>
        <v>5</v>
      </c>
      <c r="C201" s="1" t="s">
        <v>0</v>
      </c>
      <c r="D201" s="22"/>
      <c r="E201" s="71">
        <v>1</v>
      </c>
      <c r="F201" s="166">
        <f t="shared" ref="F201:F210" si="47">G129</f>
        <v>0.312</v>
      </c>
      <c r="G201" s="49">
        <f>F201/E201</f>
        <v>0.312</v>
      </c>
      <c r="H201" s="178">
        <f>SQRT(12*32.2*G201^2/(4*$B$202*($B$201*56)*$B$200^2))</f>
        <v>7.887768173235183E-3</v>
      </c>
      <c r="J201" s="178">
        <v>7.887768173235183E-3</v>
      </c>
      <c r="K201" s="71">
        <v>1</v>
      </c>
      <c r="L201" s="549">
        <f>J201*$L$199</f>
        <v>7.887768173235183E-3</v>
      </c>
      <c r="M201" s="5">
        <f>(B201*2.20462*25.4*12)</f>
        <v>3359.8408799999997</v>
      </c>
      <c r="N201" s="74">
        <f>L201*B$200*SQRT(4*B$202*M$201/32.2)/12</f>
        <v>0.31199261219824698</v>
      </c>
      <c r="O201" s="218">
        <f>K201*N201</f>
        <v>0.31199261219824698</v>
      </c>
      <c r="Q201" s="218">
        <f t="shared" ref="Q201:Q210" si="48">E101</f>
        <v>0.312</v>
      </c>
    </row>
    <row r="202" spans="1:18" ht="15" customHeight="1" x14ac:dyDescent="0.2">
      <c r="B202" s="271">
        <f>D151</f>
        <v>85</v>
      </c>
      <c r="C202" s="77" t="s">
        <v>1</v>
      </c>
      <c r="D202" s="17"/>
      <c r="E202" s="70">
        <v>2</v>
      </c>
      <c r="F202" s="167">
        <f t="shared" si="47"/>
        <v>1.38</v>
      </c>
      <c r="G202" s="48">
        <f t="shared" ref="G202:G210" si="49">F202/E202</f>
        <v>0.69</v>
      </c>
      <c r="H202" s="179">
        <f t="shared" ref="H202:H210" si="50">SQRT(12*32.2*G202^2/(4*$B$202*($B$201*56)*$B$200^2))</f>
        <v>1.7444102690808573E-2</v>
      </c>
      <c r="J202" s="179">
        <v>1.7444102690808573E-2</v>
      </c>
      <c r="K202" s="70">
        <v>2</v>
      </c>
      <c r="L202" s="550">
        <f t="shared" ref="L202:L210" si="51">J202*$L$199</f>
        <v>1.7444102690808573E-2</v>
      </c>
      <c r="N202" s="73">
        <f t="shared" ref="N202:N210" si="52">L202*B$200*SQRT(4*B$202*M$201/32.2)/12</f>
        <v>0.68998366159227675</v>
      </c>
      <c r="O202" s="219">
        <f t="shared" ref="O202" si="53">K202*N202</f>
        <v>1.3799673231845535</v>
      </c>
      <c r="Q202" s="219">
        <f t="shared" si="48"/>
        <v>1.38</v>
      </c>
    </row>
    <row r="203" spans="1:18" ht="15" customHeight="1" x14ac:dyDescent="0.2">
      <c r="E203" s="69">
        <v>3</v>
      </c>
      <c r="F203" s="168">
        <f t="shared" si="47"/>
        <v>2.9740000000000002</v>
      </c>
      <c r="G203" s="47">
        <f t="shared" si="49"/>
        <v>0.9913333333333334</v>
      </c>
      <c r="H203" s="180">
        <f t="shared" si="50"/>
        <v>2.5062203576069905E-2</v>
      </c>
      <c r="J203" s="180">
        <v>2.5062203576069905E-2</v>
      </c>
      <c r="K203" s="69">
        <v>3</v>
      </c>
      <c r="L203" s="551">
        <f t="shared" si="51"/>
        <v>2.5062203576069905E-2</v>
      </c>
      <c r="N203" s="72">
        <f t="shared" si="52"/>
        <v>0.99130985969827623</v>
      </c>
      <c r="O203" s="220">
        <f>K203*N203</f>
        <v>2.9739295790948286</v>
      </c>
      <c r="Q203" s="220">
        <f t="shared" si="48"/>
        <v>2.9740000000000002</v>
      </c>
    </row>
    <row r="204" spans="1:18" ht="15" customHeight="1" x14ac:dyDescent="0.2">
      <c r="E204" s="69">
        <v>4</v>
      </c>
      <c r="F204" s="168">
        <f t="shared" si="47"/>
        <v>5.0250000000000004</v>
      </c>
      <c r="G204" s="47">
        <f t="shared" si="49"/>
        <v>1.2562500000000001</v>
      </c>
      <c r="H204" s="180">
        <f t="shared" si="50"/>
        <v>3.1759643485983008E-2</v>
      </c>
      <c r="J204" s="180">
        <v>3.1759643485983008E-2</v>
      </c>
      <c r="K204" s="69">
        <v>4</v>
      </c>
      <c r="L204" s="551">
        <f t="shared" si="51"/>
        <v>3.1759643485983008E-2</v>
      </c>
      <c r="N204" s="72">
        <f t="shared" si="52"/>
        <v>1.2562202534424609</v>
      </c>
      <c r="O204" s="220">
        <f t="shared" ref="O204:O210" si="54">K204*N204</f>
        <v>5.0248810137698436</v>
      </c>
      <c r="Q204" s="220">
        <f t="shared" si="48"/>
        <v>5.0250000000000004</v>
      </c>
    </row>
    <row r="205" spans="1:18" ht="15" customHeight="1" x14ac:dyDescent="0.2">
      <c r="E205" s="70">
        <v>5</v>
      </c>
      <c r="F205" s="167">
        <f t="shared" si="47"/>
        <v>7.3390000000000004</v>
      </c>
      <c r="G205" s="48">
        <f t="shared" si="49"/>
        <v>1.4678</v>
      </c>
      <c r="H205" s="179">
        <f t="shared" si="50"/>
        <v>3.7107904245751923E-2</v>
      </c>
      <c r="J205" s="179">
        <v>3.7107904245751923E-2</v>
      </c>
      <c r="K205" s="70">
        <v>5</v>
      </c>
      <c r="L205" s="550">
        <f t="shared" si="51"/>
        <v>3.7107904245751923E-2</v>
      </c>
      <c r="N205" s="73">
        <f t="shared" si="52"/>
        <v>1.4677652441813682</v>
      </c>
      <c r="O205" s="219">
        <f t="shared" si="54"/>
        <v>7.3388262209068413</v>
      </c>
      <c r="Q205" s="219">
        <f t="shared" si="48"/>
        <v>7.3390000000000004</v>
      </c>
    </row>
    <row r="206" spans="1:18" ht="15" customHeight="1" x14ac:dyDescent="0.2">
      <c r="E206" s="69">
        <v>10</v>
      </c>
      <c r="F206" s="168">
        <f t="shared" si="47"/>
        <v>18.167999999999999</v>
      </c>
      <c r="G206" s="47">
        <f t="shared" si="49"/>
        <v>1.8168</v>
      </c>
      <c r="H206" s="180">
        <f t="shared" si="50"/>
        <v>4.5931080824146403E-2</v>
      </c>
      <c r="J206" s="180">
        <v>4.5931080824146403E-2</v>
      </c>
      <c r="K206" s="75">
        <v>10</v>
      </c>
      <c r="L206" s="551">
        <f t="shared" si="51"/>
        <v>4.5931080824146403E-2</v>
      </c>
      <c r="M206" s="41"/>
      <c r="N206" s="76">
        <f t="shared" si="52"/>
        <v>1.8167569802620995</v>
      </c>
      <c r="O206" s="221">
        <f t="shared" si="54"/>
        <v>18.167569802620996</v>
      </c>
      <c r="Q206" s="221">
        <f t="shared" si="48"/>
        <v>18.167999999999999</v>
      </c>
    </row>
    <row r="207" spans="1:18" ht="15" customHeight="1" x14ac:dyDescent="0.2">
      <c r="E207" s="69">
        <v>20</v>
      </c>
      <c r="F207" s="168">
        <f t="shared" si="47"/>
        <v>37.683999999999997</v>
      </c>
      <c r="G207" s="47">
        <f t="shared" si="49"/>
        <v>1.8841999999999999</v>
      </c>
      <c r="H207" s="180">
        <f t="shared" si="50"/>
        <v>4.7635041000031186E-2</v>
      </c>
      <c r="J207" s="180">
        <v>4.7635041000031186E-2</v>
      </c>
      <c r="K207" s="69">
        <v>20</v>
      </c>
      <c r="L207" s="551">
        <f t="shared" si="51"/>
        <v>4.7635041000031186E-2</v>
      </c>
      <c r="N207" s="72">
        <f t="shared" si="52"/>
        <v>1.8841553843074899</v>
      </c>
      <c r="O207" s="220">
        <f t="shared" si="54"/>
        <v>37.683107686149796</v>
      </c>
      <c r="Q207" s="220">
        <f t="shared" si="48"/>
        <v>37.683999999999997</v>
      </c>
    </row>
    <row r="208" spans="1:18" ht="15" customHeight="1" x14ac:dyDescent="0.2">
      <c r="E208" s="69">
        <v>30</v>
      </c>
      <c r="F208" s="168">
        <f t="shared" si="47"/>
        <v>50.844999999999999</v>
      </c>
      <c r="G208" s="47">
        <f t="shared" si="49"/>
        <v>1.6948333333333332</v>
      </c>
      <c r="H208" s="180">
        <f t="shared" si="50"/>
        <v>4.284760392822038E-2</v>
      </c>
      <c r="J208" s="180">
        <v>4.284760392822038E-2</v>
      </c>
      <c r="K208" s="69">
        <v>30</v>
      </c>
      <c r="L208" s="551">
        <f t="shared" si="51"/>
        <v>4.284760392822038E-2</v>
      </c>
      <c r="N208" s="72">
        <f t="shared" si="52"/>
        <v>1.6947932016260536</v>
      </c>
      <c r="O208" s="220">
        <f t="shared" si="54"/>
        <v>50.843796048781606</v>
      </c>
      <c r="Q208" s="220">
        <f t="shared" si="48"/>
        <v>50.844999999999999</v>
      </c>
    </row>
    <row r="209" spans="1:17" ht="15" customHeight="1" x14ac:dyDescent="0.2">
      <c r="E209" s="69">
        <v>40</v>
      </c>
      <c r="F209" s="168">
        <f t="shared" si="47"/>
        <v>62.822000000000003</v>
      </c>
      <c r="G209" s="47">
        <f t="shared" si="49"/>
        <v>1.5705500000000001</v>
      </c>
      <c r="H209" s="180">
        <f t="shared" si="50"/>
        <v>3.9705558668187549E-2</v>
      </c>
      <c r="J209" s="180">
        <v>3.9705558668187549E-2</v>
      </c>
      <c r="K209" s="69">
        <v>40</v>
      </c>
      <c r="L209" s="551">
        <f t="shared" si="51"/>
        <v>3.9705558668187549E-2</v>
      </c>
      <c r="N209" s="72">
        <f t="shared" si="52"/>
        <v>1.5705128111793485</v>
      </c>
      <c r="O209" s="220">
        <f t="shared" si="54"/>
        <v>62.82051244717394</v>
      </c>
      <c r="Q209" s="220">
        <f t="shared" si="48"/>
        <v>62.822000000000003</v>
      </c>
    </row>
    <row r="210" spans="1:17" ht="15" customHeight="1" thickBot="1" x14ac:dyDescent="0.25">
      <c r="E210" s="70">
        <v>50</v>
      </c>
      <c r="F210" s="167">
        <f t="shared" si="47"/>
        <v>74.430000000000007</v>
      </c>
      <c r="G210" s="48">
        <f t="shared" si="49"/>
        <v>1.4886000000000001</v>
      </c>
      <c r="H210" s="179">
        <f t="shared" si="50"/>
        <v>3.7633755457300938E-2</v>
      </c>
      <c r="J210" s="179">
        <v>3.7633755457300938E-2</v>
      </c>
      <c r="K210" s="70">
        <v>50</v>
      </c>
      <c r="L210" s="556">
        <f t="shared" si="51"/>
        <v>3.7633755457300938E-2</v>
      </c>
      <c r="N210" s="73">
        <f t="shared" si="52"/>
        <v>1.4885647516612515</v>
      </c>
      <c r="O210" s="219">
        <f t="shared" si="54"/>
        <v>74.428237583062568</v>
      </c>
      <c r="Q210" s="219">
        <f t="shared" si="48"/>
        <v>74.430000000000007</v>
      </c>
    </row>
    <row r="211" spans="1:17" ht="15" customHeight="1" x14ac:dyDescent="0.2">
      <c r="K211" s="560"/>
      <c r="L211" s="561"/>
      <c r="M211" s="565"/>
      <c r="N211" s="572"/>
    </row>
    <row r="212" spans="1:17" ht="15" customHeight="1" thickBot="1" x14ac:dyDescent="0.25">
      <c r="K212" s="568" t="s">
        <v>421</v>
      </c>
      <c r="L212" s="569"/>
      <c r="M212" s="573"/>
      <c r="N212" s="574"/>
      <c r="O212" s="37"/>
    </row>
    <row r="213" spans="1:17" ht="15" customHeight="1" x14ac:dyDescent="0.2">
      <c r="O213" s="37"/>
      <c r="P213" s="505" t="s">
        <v>376</v>
      </c>
    </row>
    <row r="214" spans="1:17" ht="15" customHeight="1" x14ac:dyDescent="0.2">
      <c r="O214" s="37"/>
    </row>
    <row r="215" spans="1:17" ht="15" customHeight="1" x14ac:dyDescent="0.2">
      <c r="O215" s="37"/>
    </row>
    <row r="216" spans="1:17" ht="15" customHeight="1" x14ac:dyDescent="0.2">
      <c r="O216" s="37"/>
    </row>
    <row r="217" spans="1:17" ht="15" customHeight="1" x14ac:dyDescent="0.2">
      <c r="A217" s="51"/>
      <c r="B217" s="9"/>
      <c r="C217" s="9"/>
      <c r="D217" s="9"/>
      <c r="E217" s="9"/>
      <c r="F217" s="9"/>
      <c r="G217" s="9"/>
      <c r="H217" s="9"/>
      <c r="I217" s="9"/>
      <c r="J217" s="9"/>
      <c r="K217" s="9"/>
      <c r="L217" s="9"/>
      <c r="M217" s="9"/>
      <c r="N217" s="9"/>
      <c r="O217" s="272"/>
      <c r="P217" s="10"/>
    </row>
    <row r="218" spans="1:17" ht="15" customHeight="1" x14ac:dyDescent="0.2">
      <c r="A218" s="35"/>
      <c r="B218" s="1"/>
      <c r="C218" s="1"/>
      <c r="D218" s="1"/>
      <c r="E218" s="1"/>
      <c r="F218" s="1"/>
      <c r="G218" s="1"/>
      <c r="H218" s="1"/>
      <c r="I218" s="1"/>
      <c r="J218" s="1"/>
      <c r="K218" s="1"/>
      <c r="L218" s="1"/>
      <c r="M218" s="1"/>
      <c r="N218" s="1"/>
      <c r="O218" s="334" t="s">
        <v>195</v>
      </c>
      <c r="P218" s="299"/>
    </row>
    <row r="219" spans="1:17" ht="15" customHeight="1" x14ac:dyDescent="0.2">
      <c r="A219" s="35"/>
      <c r="B219" s="1"/>
      <c r="C219" s="1"/>
      <c r="D219" s="1"/>
      <c r="E219" s="1"/>
      <c r="F219" s="1"/>
      <c r="G219" s="1"/>
      <c r="H219" s="1"/>
      <c r="I219" s="1"/>
      <c r="J219" s="1"/>
      <c r="K219" s="1"/>
      <c r="L219" s="1"/>
      <c r="M219" s="1"/>
      <c r="N219" s="1"/>
      <c r="O219" s="273"/>
      <c r="P219" s="22"/>
    </row>
    <row r="220" spans="1:17" ht="15" customHeight="1" x14ac:dyDescent="0.2">
      <c r="A220" s="274" t="s">
        <v>98</v>
      </c>
      <c r="B220" s="275" t="s">
        <v>183</v>
      </c>
      <c r="C220" s="1"/>
      <c r="D220" s="1"/>
      <c r="E220" s="1"/>
      <c r="F220" s="1"/>
      <c r="G220" s="1"/>
      <c r="H220" s="1"/>
      <c r="I220" s="1"/>
      <c r="J220" s="1"/>
      <c r="K220" s="276" t="s">
        <v>121</v>
      </c>
      <c r="L220" s="1"/>
      <c r="M220" s="1"/>
      <c r="N220" s="1"/>
      <c r="O220" s="330" t="s">
        <v>122</v>
      </c>
      <c r="P220" s="22"/>
    </row>
    <row r="221" spans="1:17" ht="15" customHeight="1" x14ac:dyDescent="0.2">
      <c r="A221" s="274"/>
      <c r="B221" s="275" t="str">
        <f>B9</f>
        <v>3075s</v>
      </c>
      <c r="C221" s="1"/>
      <c r="D221" s="1"/>
      <c r="E221" s="1"/>
      <c r="F221" s="1"/>
      <c r="G221" s="1"/>
      <c r="H221" s="1"/>
      <c r="I221" s="1"/>
      <c r="J221" s="1"/>
      <c r="K221" s="276"/>
      <c r="L221" s="1"/>
      <c r="M221" s="1"/>
      <c r="N221" s="1"/>
      <c r="O221" s="330"/>
      <c r="P221" s="22"/>
    </row>
    <row r="222" spans="1:17" ht="15" customHeight="1" x14ac:dyDescent="0.2">
      <c r="A222" s="274"/>
      <c r="B222" s="275" t="str">
        <f>B10</f>
        <v>17 XCF 350</v>
      </c>
      <c r="C222" s="1"/>
      <c r="E222" s="1" t="str">
        <f>B5</f>
        <v xml:space="preserve">  We will use the exact spring rate from the test because a good test should have decent r-zeta and r/c ratio.</v>
      </c>
      <c r="F222" s="1"/>
      <c r="G222" s="1"/>
      <c r="H222" s="1"/>
      <c r="I222" s="1"/>
      <c r="J222" s="1"/>
      <c r="K222" s="276"/>
      <c r="L222" s="1"/>
      <c r="M222" s="1"/>
      <c r="N222" s="1"/>
      <c r="O222" s="330"/>
      <c r="P222" s="22"/>
    </row>
    <row r="223" spans="1:17" ht="15" customHeight="1" x14ac:dyDescent="0.2">
      <c r="A223" s="274"/>
      <c r="B223" s="275" t="str">
        <f>B11</f>
        <v>Mike Kirsch</v>
      </c>
      <c r="C223" s="1"/>
      <c r="E223" s="1" t="str">
        <f>B6</f>
        <v xml:space="preserve">  We are removing calc gas (73c and 69c) and displaying linear gas force (77 lbs and 73 lbs) for 12sxf450-psh and 16sxf250-psh respectively.</v>
      </c>
      <c r="F223" s="1"/>
      <c r="G223" s="1"/>
      <c r="H223" s="1"/>
      <c r="I223" s="1"/>
      <c r="J223" s="1"/>
      <c r="K223" s="276"/>
      <c r="L223" s="1"/>
      <c r="M223" s="1"/>
      <c r="N223" s="1"/>
      <c r="O223" s="330"/>
      <c r="P223" s="22"/>
    </row>
    <row r="224" spans="1:17" ht="15" customHeight="1" x14ac:dyDescent="0.2">
      <c r="A224" s="274"/>
      <c r="B224" s="275" t="str">
        <f>B12</f>
        <v>12sxf450-psh</v>
      </c>
      <c r="C224" s="1"/>
      <c r="D224" s="275" t="str">
        <f>D12</f>
        <v>16 flsprs</v>
      </c>
      <c r="E224" s="1"/>
      <c r="F224" s="1"/>
      <c r="G224" s="1"/>
      <c r="H224" s="1"/>
      <c r="I224" s="1"/>
      <c r="J224" s="1"/>
      <c r="K224" s="276"/>
      <c r="L224" s="1"/>
      <c r="M224" s="1"/>
      <c r="N224" s="1"/>
      <c r="O224" s="330"/>
      <c r="P224" s="22"/>
    </row>
    <row r="225" spans="1:16" ht="15" customHeight="1" x14ac:dyDescent="0.2">
      <c r="A225" s="35"/>
      <c r="B225" s="275" t="str">
        <f>B13</f>
        <v>TRENDLINE</v>
      </c>
      <c r="C225" s="275" t="str">
        <f>C13</f>
        <v>v7</v>
      </c>
      <c r="D225" s="275" t="str">
        <f>D13</f>
        <v>DONE</v>
      </c>
      <c r="E225" s="1"/>
      <c r="F225" s="1"/>
      <c r="G225" s="1"/>
      <c r="H225" s="1"/>
      <c r="I225" s="1"/>
      <c r="J225" s="1"/>
      <c r="K225" s="276"/>
      <c r="L225" s="1"/>
      <c r="M225" s="1"/>
      <c r="N225" s="1"/>
      <c r="O225" s="330"/>
      <c r="P225" s="22"/>
    </row>
    <row r="226" spans="1:16" ht="15" customHeight="1" x14ac:dyDescent="0.2">
      <c r="A226" s="35"/>
      <c r="B226" s="275"/>
      <c r="C226" s="1"/>
      <c r="D226" s="1"/>
      <c r="E226" s="1"/>
      <c r="F226" s="1"/>
      <c r="G226" s="1"/>
      <c r="H226" s="1"/>
      <c r="I226" s="1"/>
      <c r="J226" s="1"/>
      <c r="K226" s="1"/>
      <c r="L226" s="1"/>
      <c r="M226" s="1"/>
      <c r="N226" s="1"/>
      <c r="O226" s="1"/>
      <c r="P226" s="22"/>
    </row>
    <row r="227" spans="1:16" ht="15" customHeight="1" x14ac:dyDescent="0.2">
      <c r="A227" s="11"/>
      <c r="B227" s="442" t="s">
        <v>202</v>
      </c>
      <c r="C227" s="275"/>
      <c r="D227" s="1"/>
      <c r="E227" s="1"/>
      <c r="F227" s="1"/>
      <c r="G227" s="1"/>
      <c r="H227" s="1"/>
      <c r="I227" s="445" t="str">
        <f>IF($B$12="12sxf450-psh","calc gas force = 73c, linear = 77","calc gas force = 69c, linear = 73")</f>
        <v>calc gas force = 73c, linear = 77</v>
      </c>
      <c r="J227" s="445"/>
      <c r="K227" s="1"/>
      <c r="L227" s="1"/>
      <c r="M227" s="1"/>
      <c r="N227" s="1"/>
      <c r="O227" s="1"/>
      <c r="P227" s="22"/>
    </row>
    <row r="228" spans="1:16" ht="15" customHeight="1" x14ac:dyDescent="0.2">
      <c r="A228" s="35"/>
      <c r="B228" s="1"/>
      <c r="C228" s="1"/>
      <c r="D228" s="1"/>
      <c r="E228" s="1"/>
      <c r="F228" s="1"/>
      <c r="G228" s="1"/>
      <c r="H228" s="446" t="str">
        <f>J99</f>
        <v>aver</v>
      </c>
      <c r="I228" s="1"/>
      <c r="J228" s="1"/>
      <c r="K228" s="1"/>
      <c r="L228" s="1"/>
      <c r="M228" s="1"/>
      <c r="N228" s="1"/>
      <c r="O228" s="1"/>
      <c r="P228" s="22"/>
    </row>
    <row r="229" spans="1:16" ht="15" customHeight="1" x14ac:dyDescent="0.2">
      <c r="A229" s="300" t="s">
        <v>151</v>
      </c>
      <c r="B229" s="448">
        <f>D150</f>
        <v>5</v>
      </c>
      <c r="C229" s="449" t="s">
        <v>56</v>
      </c>
      <c r="D229" s="449" t="s">
        <v>56</v>
      </c>
      <c r="E229" s="449" t="s">
        <v>56</v>
      </c>
      <c r="F229" s="450" t="s">
        <v>33</v>
      </c>
      <c r="G229" s="183" t="s">
        <v>56</v>
      </c>
      <c r="H229" s="449" t="s">
        <v>47</v>
      </c>
      <c r="I229" s="449" t="s">
        <v>22</v>
      </c>
      <c r="J229" s="183" t="s">
        <v>22</v>
      </c>
      <c r="K229" s="451" t="s">
        <v>47</v>
      </c>
      <c r="L229" s="183" t="s">
        <v>40</v>
      </c>
      <c r="M229" s="183" t="s">
        <v>33</v>
      </c>
      <c r="N229" s="183" t="s">
        <v>35</v>
      </c>
      <c r="O229" s="1"/>
      <c r="P229" s="467" t="s">
        <v>40</v>
      </c>
    </row>
    <row r="230" spans="1:16" ht="15" customHeight="1" x14ac:dyDescent="0.2">
      <c r="A230" s="35"/>
      <c r="B230" s="449"/>
      <c r="C230" s="452" t="s">
        <v>40</v>
      </c>
      <c r="D230" s="449" t="s">
        <v>41</v>
      </c>
      <c r="E230" s="183" t="s">
        <v>32</v>
      </c>
      <c r="F230" s="453" t="s">
        <v>50</v>
      </c>
      <c r="G230" s="183" t="s">
        <v>33</v>
      </c>
      <c r="H230" s="449" t="s">
        <v>35</v>
      </c>
      <c r="I230" s="449" t="s">
        <v>37</v>
      </c>
      <c r="J230" s="183" t="s">
        <v>38</v>
      </c>
      <c r="K230" s="451" t="s">
        <v>28</v>
      </c>
      <c r="L230" s="183" t="s">
        <v>39</v>
      </c>
      <c r="M230" s="183" t="s">
        <v>39</v>
      </c>
      <c r="N230" s="183" t="s">
        <v>39</v>
      </c>
      <c r="O230" s="1"/>
      <c r="P230" s="467" t="s">
        <v>39</v>
      </c>
    </row>
    <row r="231" spans="1:16" ht="15" customHeight="1" x14ac:dyDescent="0.2">
      <c r="A231" s="35"/>
      <c r="B231" s="449" t="s">
        <v>21</v>
      </c>
      <c r="C231" s="311" t="s">
        <v>53</v>
      </c>
      <c r="D231" s="311" t="s">
        <v>53</v>
      </c>
      <c r="E231" s="311" t="s">
        <v>53</v>
      </c>
      <c r="F231" s="454" t="s">
        <v>54</v>
      </c>
      <c r="G231" s="311" t="s">
        <v>53</v>
      </c>
      <c r="H231" s="311" t="s">
        <v>53</v>
      </c>
      <c r="I231" s="311" t="s">
        <v>53</v>
      </c>
      <c r="J231" s="311" t="s">
        <v>53</v>
      </c>
      <c r="K231" s="455" t="s">
        <v>118</v>
      </c>
      <c r="L231" s="311" t="s">
        <v>53</v>
      </c>
      <c r="M231" s="311" t="s">
        <v>53</v>
      </c>
      <c r="N231" s="311" t="s">
        <v>53</v>
      </c>
      <c r="O231" s="1"/>
      <c r="P231" s="467" t="s">
        <v>51</v>
      </c>
    </row>
    <row r="232" spans="1:16" ht="15" customHeight="1" x14ac:dyDescent="0.2">
      <c r="A232" s="35"/>
      <c r="B232" s="449">
        <v>1</v>
      </c>
      <c r="C232" s="456">
        <f t="shared" ref="C232:E241" si="55">C129</f>
        <v>38.666285714285721</v>
      </c>
      <c r="D232" s="456">
        <f t="shared" si="55"/>
        <v>111.66628571428572</v>
      </c>
      <c r="E232" s="456">
        <f t="shared" si="55"/>
        <v>22.666285714285724</v>
      </c>
      <c r="F232" s="456">
        <f>G232+J232</f>
        <v>34.354285714285723</v>
      </c>
      <c r="G232" s="456">
        <f t="shared" ref="G232:H241" si="56">F129</f>
        <v>22.354285714285723</v>
      </c>
      <c r="H232" s="457">
        <f t="shared" si="56"/>
        <v>0.312</v>
      </c>
      <c r="I232" s="458">
        <f>M129</f>
        <v>77</v>
      </c>
      <c r="J232" s="456">
        <f t="shared" ref="J232:J241" si="57">L129</f>
        <v>12</v>
      </c>
      <c r="K232" s="459">
        <f>H232/E232</f>
        <v>1.3764937225835723E-2</v>
      </c>
      <c r="L232" s="584">
        <f t="shared" ref="L232:L241" si="58">F149</f>
        <v>0.9775574353682559</v>
      </c>
      <c r="M232" s="584">
        <f t="shared" ref="M232:M241" si="59">H171</f>
        <v>0.56514558779663082</v>
      </c>
      <c r="N232" s="584">
        <f t="shared" ref="N232:N241" si="60">H201</f>
        <v>7.887768173235183E-3</v>
      </c>
      <c r="O232" s="1"/>
      <c r="P232" s="468">
        <f>L232</f>
        <v>0.9775574353682559</v>
      </c>
    </row>
    <row r="233" spans="1:16" ht="15" customHeight="1" x14ac:dyDescent="0.2">
      <c r="A233" s="35"/>
      <c r="B233" s="449">
        <v>2</v>
      </c>
      <c r="C233" s="127">
        <f t="shared" si="55"/>
        <v>61.962857142857104</v>
      </c>
      <c r="D233" s="127">
        <f t="shared" si="55"/>
        <v>134.9628571428571</v>
      </c>
      <c r="E233" s="127">
        <f t="shared" si="55"/>
        <v>45.962857142857118</v>
      </c>
      <c r="F233" s="127">
        <f t="shared" ref="F233:F241" si="61">G233+J233</f>
        <v>56.582857142857115</v>
      </c>
      <c r="G233" s="127">
        <f t="shared" si="56"/>
        <v>44.582857142857115</v>
      </c>
      <c r="H233" s="460">
        <f t="shared" si="56"/>
        <v>1.38</v>
      </c>
      <c r="I233" s="461">
        <f t="shared" ref="I233:I241" si="62">M130</f>
        <v>77</v>
      </c>
      <c r="J233" s="127">
        <f t="shared" si="57"/>
        <v>12</v>
      </c>
      <c r="K233" s="462">
        <f t="shared" ref="K233:K241" si="63">H233/E233</f>
        <v>3.0024243177721156E-2</v>
      </c>
      <c r="L233" s="585">
        <f t="shared" si="58"/>
        <v>0.78326959258827722</v>
      </c>
      <c r="M233" s="585">
        <f t="shared" si="59"/>
        <v>0.56355647699249867</v>
      </c>
      <c r="N233" s="585">
        <f t="shared" si="60"/>
        <v>1.7444102690808573E-2</v>
      </c>
      <c r="O233" s="1"/>
      <c r="P233" s="469">
        <f t="shared" ref="P233:P241" si="64">L233</f>
        <v>0.78326959258827722</v>
      </c>
    </row>
    <row r="234" spans="1:16" ht="15" customHeight="1" x14ac:dyDescent="0.2">
      <c r="A234" s="35"/>
      <c r="B234" s="449">
        <v>3</v>
      </c>
      <c r="C234" s="463">
        <f t="shared" si="55"/>
        <v>81.299714285714259</v>
      </c>
      <c r="D234" s="463">
        <f t="shared" si="55"/>
        <v>154.29971428571426</v>
      </c>
      <c r="E234" s="463">
        <f t="shared" si="55"/>
        <v>65.299714285714259</v>
      </c>
      <c r="F234" s="463">
        <f t="shared" si="61"/>
        <v>74.32571428571427</v>
      </c>
      <c r="G234" s="463">
        <f t="shared" si="56"/>
        <v>62.325714285714263</v>
      </c>
      <c r="H234" s="464">
        <f t="shared" si="56"/>
        <v>2.9740000000000002</v>
      </c>
      <c r="I234" s="465">
        <f t="shared" si="62"/>
        <v>77</v>
      </c>
      <c r="J234" s="463">
        <f t="shared" si="57"/>
        <v>12</v>
      </c>
      <c r="K234" s="466">
        <f t="shared" si="63"/>
        <v>4.554384398969151E-2</v>
      </c>
      <c r="L234" s="586">
        <f t="shared" si="58"/>
        <v>0.68513726902876315</v>
      </c>
      <c r="M234" s="586">
        <f t="shared" si="59"/>
        <v>0.52522519820192981</v>
      </c>
      <c r="N234" s="586">
        <f t="shared" si="60"/>
        <v>2.5062203576069905E-2</v>
      </c>
      <c r="O234" s="1"/>
      <c r="P234" s="470">
        <f t="shared" si="64"/>
        <v>0.68513726902876315</v>
      </c>
    </row>
    <row r="235" spans="1:16" ht="15" customHeight="1" x14ac:dyDescent="0.2">
      <c r="A235" s="35"/>
      <c r="B235" s="449">
        <v>4</v>
      </c>
      <c r="C235" s="463">
        <f t="shared" si="55"/>
        <v>98.307857142857159</v>
      </c>
      <c r="D235" s="463">
        <f t="shared" si="55"/>
        <v>171.30785714285716</v>
      </c>
      <c r="E235" s="463">
        <f t="shared" si="55"/>
        <v>82.307857142857159</v>
      </c>
      <c r="F235" s="463">
        <f t="shared" si="61"/>
        <v>89.282857142857154</v>
      </c>
      <c r="G235" s="463">
        <f t="shared" si="56"/>
        <v>77.282857142857154</v>
      </c>
      <c r="H235" s="464">
        <f t="shared" si="56"/>
        <v>5.0250000000000004</v>
      </c>
      <c r="I235" s="465">
        <f t="shared" si="62"/>
        <v>77</v>
      </c>
      <c r="J235" s="463">
        <f t="shared" si="57"/>
        <v>12</v>
      </c>
      <c r="K235" s="466">
        <f t="shared" si="63"/>
        <v>6.1051279603578888E-2</v>
      </c>
      <c r="L235" s="586">
        <f t="shared" si="58"/>
        <v>0.62135252281042375</v>
      </c>
      <c r="M235" s="586">
        <f t="shared" si="59"/>
        <v>0.48845293341995982</v>
      </c>
      <c r="N235" s="586">
        <f t="shared" si="60"/>
        <v>3.1759643485983008E-2</v>
      </c>
      <c r="O235" s="1"/>
      <c r="P235" s="470">
        <f t="shared" si="64"/>
        <v>0.62135252281042375</v>
      </c>
    </row>
    <row r="236" spans="1:16" ht="15" customHeight="1" x14ac:dyDescent="0.2">
      <c r="A236" s="35"/>
      <c r="B236" s="449">
        <v>5</v>
      </c>
      <c r="C236" s="127">
        <f t="shared" si="55"/>
        <v>114.49328571428578</v>
      </c>
      <c r="D236" s="127">
        <f t="shared" si="55"/>
        <v>187.49328571428578</v>
      </c>
      <c r="E236" s="127">
        <f t="shared" si="55"/>
        <v>98.493285714285761</v>
      </c>
      <c r="F236" s="127">
        <f t="shared" si="61"/>
        <v>103.15428571428576</v>
      </c>
      <c r="G236" s="127">
        <f t="shared" si="56"/>
        <v>91.154285714285763</v>
      </c>
      <c r="H236" s="460">
        <f t="shared" si="56"/>
        <v>7.3390000000000004</v>
      </c>
      <c r="I236" s="461">
        <f t="shared" si="62"/>
        <v>77</v>
      </c>
      <c r="J236" s="127">
        <f t="shared" si="57"/>
        <v>12</v>
      </c>
      <c r="K236" s="462">
        <f t="shared" si="63"/>
        <v>7.451269339606903E-2</v>
      </c>
      <c r="L236" s="585">
        <f t="shared" si="58"/>
        <v>0.57892171788504931</v>
      </c>
      <c r="M236" s="585">
        <f t="shared" si="59"/>
        <v>0.46089991904559602</v>
      </c>
      <c r="N236" s="585">
        <f t="shared" si="60"/>
        <v>3.7107904245751923E-2</v>
      </c>
      <c r="O236" s="1"/>
      <c r="P236" s="469">
        <f t="shared" si="64"/>
        <v>0.57892171788504931</v>
      </c>
    </row>
    <row r="237" spans="1:16" ht="15" customHeight="1" x14ac:dyDescent="0.2">
      <c r="A237" s="35"/>
      <c r="B237" s="449">
        <v>10</v>
      </c>
      <c r="C237" s="463">
        <f t="shared" si="55"/>
        <v>184.88371428571429</v>
      </c>
      <c r="D237" s="463">
        <f t="shared" si="55"/>
        <v>257.88371428571429</v>
      </c>
      <c r="E237" s="463">
        <f t="shared" si="55"/>
        <v>168.88371428571432</v>
      </c>
      <c r="F237" s="463">
        <f t="shared" si="61"/>
        <v>162.71571428571431</v>
      </c>
      <c r="G237" s="463">
        <f t="shared" si="56"/>
        <v>150.71571428571431</v>
      </c>
      <c r="H237" s="464">
        <f t="shared" si="56"/>
        <v>18.167999999999999</v>
      </c>
      <c r="I237" s="465">
        <f t="shared" si="62"/>
        <v>77</v>
      </c>
      <c r="J237" s="463">
        <f t="shared" si="57"/>
        <v>12</v>
      </c>
      <c r="K237" s="466">
        <f t="shared" si="63"/>
        <v>0.1075769802721399</v>
      </c>
      <c r="L237" s="586">
        <f t="shared" si="58"/>
        <v>0.46742128508021069</v>
      </c>
      <c r="M237" s="586">
        <f t="shared" si="59"/>
        <v>0.38102904306066165</v>
      </c>
      <c r="N237" s="586">
        <f t="shared" si="60"/>
        <v>4.5931080824146403E-2</v>
      </c>
      <c r="O237" s="1"/>
      <c r="P237" s="470">
        <f t="shared" si="64"/>
        <v>0.46742128508021069</v>
      </c>
    </row>
    <row r="238" spans="1:16" ht="15" customHeight="1" x14ac:dyDescent="0.2">
      <c r="A238" s="35"/>
      <c r="B238" s="449">
        <v>20</v>
      </c>
      <c r="C238" s="463">
        <f t="shared" si="55"/>
        <v>305.82114285714295</v>
      </c>
      <c r="D238" s="463">
        <f t="shared" si="55"/>
        <v>378.82114285714295</v>
      </c>
      <c r="E238" s="463">
        <f t="shared" si="55"/>
        <v>289.82114285714295</v>
      </c>
      <c r="F238" s="463">
        <f t="shared" si="61"/>
        <v>264.13714285714292</v>
      </c>
      <c r="G238" s="463">
        <f t="shared" si="56"/>
        <v>252.13714285714292</v>
      </c>
      <c r="H238" s="464">
        <f t="shared" si="56"/>
        <v>37.683999999999997</v>
      </c>
      <c r="I238" s="465">
        <f t="shared" si="62"/>
        <v>77</v>
      </c>
      <c r="J238" s="463">
        <f t="shared" si="57"/>
        <v>12</v>
      </c>
      <c r="K238" s="466">
        <f t="shared" si="63"/>
        <v>0.13002502035738292</v>
      </c>
      <c r="L238" s="586">
        <f t="shared" si="58"/>
        <v>0.38658708299768774</v>
      </c>
      <c r="M238" s="586">
        <f t="shared" si="59"/>
        <v>0.3187178414613821</v>
      </c>
      <c r="N238" s="586">
        <f t="shared" si="60"/>
        <v>4.7635041000031186E-2</v>
      </c>
      <c r="O238" s="1"/>
      <c r="P238" s="470">
        <f t="shared" si="64"/>
        <v>0.38658708299768774</v>
      </c>
    </row>
    <row r="239" spans="1:16" ht="15" customHeight="1" x14ac:dyDescent="0.2">
      <c r="A239" s="35"/>
      <c r="B239" s="449">
        <v>30</v>
      </c>
      <c r="C239" s="463">
        <f t="shared" si="55"/>
        <v>407.03928571428582</v>
      </c>
      <c r="D239" s="463">
        <f t="shared" si="55"/>
        <v>480.03928571428582</v>
      </c>
      <c r="E239" s="463">
        <f t="shared" si="55"/>
        <v>391.03928571428582</v>
      </c>
      <c r="F239" s="463">
        <f t="shared" si="61"/>
        <v>352.1942857142858</v>
      </c>
      <c r="G239" s="463">
        <f t="shared" si="56"/>
        <v>340.1942857142858</v>
      </c>
      <c r="H239" s="464">
        <f t="shared" si="56"/>
        <v>50.844999999999999</v>
      </c>
      <c r="I239" s="465">
        <f t="shared" si="62"/>
        <v>77</v>
      </c>
      <c r="J239" s="463">
        <f t="shared" si="57"/>
        <v>12</v>
      </c>
      <c r="K239" s="466">
        <f t="shared" si="63"/>
        <v>0.13002529888301317</v>
      </c>
      <c r="L239" s="586">
        <f t="shared" si="58"/>
        <v>0.34302431078863921</v>
      </c>
      <c r="M239" s="586">
        <f t="shared" si="59"/>
        <v>0.28668522003991659</v>
      </c>
      <c r="N239" s="586">
        <f t="shared" si="60"/>
        <v>4.284760392822038E-2</v>
      </c>
      <c r="O239" s="1"/>
      <c r="P239" s="470">
        <f t="shared" si="64"/>
        <v>0.34302431078863921</v>
      </c>
    </row>
    <row r="240" spans="1:16" ht="15" customHeight="1" x14ac:dyDescent="0.2">
      <c r="A240" s="35"/>
      <c r="B240" s="449">
        <v>40</v>
      </c>
      <c r="C240" s="463">
        <f t="shared" si="55"/>
        <v>499.1591428571428</v>
      </c>
      <c r="D240" s="463">
        <f t="shared" si="55"/>
        <v>572.1591428571428</v>
      </c>
      <c r="E240" s="463">
        <f t="shared" si="55"/>
        <v>483.1591428571428</v>
      </c>
      <c r="F240" s="463">
        <f t="shared" si="61"/>
        <v>432.33714285714279</v>
      </c>
      <c r="G240" s="463">
        <f t="shared" si="56"/>
        <v>420.33714285714279</v>
      </c>
      <c r="H240" s="464">
        <f t="shared" si="56"/>
        <v>62.822000000000003</v>
      </c>
      <c r="I240" s="465">
        <f t="shared" si="62"/>
        <v>78</v>
      </c>
      <c r="J240" s="463">
        <f t="shared" si="57"/>
        <v>12</v>
      </c>
      <c r="K240" s="466">
        <f t="shared" si="63"/>
        <v>0.1300234113929927</v>
      </c>
      <c r="L240" s="586">
        <f t="shared" si="58"/>
        <v>0.31549237437600836</v>
      </c>
      <c r="M240" s="586">
        <f t="shared" si="59"/>
        <v>0.2656668219116331</v>
      </c>
      <c r="N240" s="586">
        <f t="shared" si="60"/>
        <v>3.9705558668187549E-2</v>
      </c>
      <c r="O240" s="1"/>
      <c r="P240" s="470">
        <f t="shared" si="64"/>
        <v>0.31549237437600836</v>
      </c>
    </row>
    <row r="241" spans="1:21" ht="15" customHeight="1" x14ac:dyDescent="0.2">
      <c r="A241" s="35"/>
      <c r="B241" s="449">
        <v>50</v>
      </c>
      <c r="C241" s="127">
        <f t="shared" si="55"/>
        <v>588.4457142857143</v>
      </c>
      <c r="D241" s="127">
        <f t="shared" si="55"/>
        <v>661.4457142857143</v>
      </c>
      <c r="E241" s="127">
        <f t="shared" si="55"/>
        <v>572.4457142857143</v>
      </c>
      <c r="F241" s="127">
        <f t="shared" si="61"/>
        <v>510.01571428571424</v>
      </c>
      <c r="G241" s="127">
        <f t="shared" si="56"/>
        <v>498.01571428571424</v>
      </c>
      <c r="H241" s="460">
        <f t="shared" si="56"/>
        <v>74.430000000000007</v>
      </c>
      <c r="I241" s="461">
        <f t="shared" si="62"/>
        <v>79</v>
      </c>
      <c r="J241" s="127">
        <f t="shared" si="57"/>
        <v>12</v>
      </c>
      <c r="K241" s="462">
        <f t="shared" si="63"/>
        <v>0.13002106250873446</v>
      </c>
      <c r="L241" s="585">
        <f t="shared" si="58"/>
        <v>0.29754059521577231</v>
      </c>
      <c r="M241" s="585">
        <f t="shared" si="59"/>
        <v>0.25180977569960528</v>
      </c>
      <c r="N241" s="585">
        <f t="shared" si="60"/>
        <v>3.7633755457300938E-2</v>
      </c>
      <c r="O241" s="1"/>
      <c r="P241" s="469">
        <f t="shared" si="64"/>
        <v>0.29754059521577231</v>
      </c>
      <c r="R241" s="486" t="s">
        <v>341</v>
      </c>
      <c r="S241" s="9"/>
      <c r="T241" s="9"/>
      <c r="U241" s="10"/>
    </row>
    <row r="242" spans="1:21" ht="15" customHeight="1" x14ac:dyDescent="0.2">
      <c r="A242" s="35"/>
      <c r="B242" s="1"/>
      <c r="C242" s="1"/>
      <c r="D242" s="1"/>
      <c r="E242" s="1"/>
      <c r="F242" s="1"/>
      <c r="G242" s="1"/>
      <c r="H242" s="1"/>
      <c r="I242" s="1"/>
      <c r="J242" s="1"/>
      <c r="K242" s="1"/>
      <c r="L242" s="1"/>
      <c r="M242" s="1"/>
      <c r="N242" s="1"/>
      <c r="O242" s="1"/>
      <c r="P242" s="22"/>
      <c r="R242" s="487" t="s">
        <v>340</v>
      </c>
      <c r="S242" s="1"/>
      <c r="T242" s="1"/>
      <c r="U242" s="22"/>
    </row>
    <row r="243" spans="1:21" ht="15" customHeight="1" x14ac:dyDescent="0.2">
      <c r="A243" s="35"/>
      <c r="B243" s="1"/>
      <c r="C243" s="1"/>
      <c r="D243" s="1"/>
      <c r="E243" s="1"/>
      <c r="F243" s="1"/>
      <c r="G243" s="1"/>
      <c r="H243" s="1"/>
      <c r="I243" s="1"/>
      <c r="J243" s="1"/>
      <c r="K243" s="1"/>
      <c r="L243" s="447" t="s">
        <v>339</v>
      </c>
      <c r="M243" t="str">
        <f>CONCATENATE(R245,"_",S245,"_",T245,"_",U245)</f>
        <v>98_58_30_c</v>
      </c>
      <c r="N243" s="1"/>
      <c r="O243" s="1"/>
      <c r="P243" s="22"/>
      <c r="R243" s="35"/>
      <c r="S243" s="1"/>
      <c r="T243" s="1"/>
      <c r="U243" s="22"/>
    </row>
    <row r="244" spans="1:21" ht="15" customHeight="1" x14ac:dyDescent="0.2">
      <c r="A244" s="35"/>
      <c r="B244" s="1"/>
      <c r="C244" s="1"/>
      <c r="D244" s="1"/>
      <c r="E244" s="1"/>
      <c r="F244" s="1"/>
      <c r="G244" s="1"/>
      <c r="H244" s="1"/>
      <c r="I244" s="1"/>
      <c r="J244" s="1"/>
      <c r="K244" s="1"/>
      <c r="M244" s="1"/>
      <c r="N244" s="1"/>
      <c r="O244" s="1"/>
      <c r="P244" s="22"/>
      <c r="R244" s="488">
        <f>ROUND((P232*100),0)</f>
        <v>98</v>
      </c>
      <c r="S244" s="489">
        <f>ROUND((P236*100),0)</f>
        <v>58</v>
      </c>
      <c r="T244" s="489">
        <f>ROUND((P241*100),0)</f>
        <v>30</v>
      </c>
      <c r="U244" s="490" t="str">
        <f>IF(C13="v5","a",IF(C13="v6","b",IF(C13="v7","c",IF(C13="v8","d","e"))))</f>
        <v>c</v>
      </c>
    </row>
    <row r="245" spans="1:21" ht="15" customHeight="1" x14ac:dyDescent="0.2">
      <c r="A245" s="35"/>
      <c r="B245" s="1"/>
      <c r="C245" s="1"/>
      <c r="D245" s="1"/>
      <c r="E245" s="1"/>
      <c r="F245" s="1"/>
      <c r="G245" s="1"/>
      <c r="H245" s="1"/>
      <c r="I245" s="1"/>
      <c r="J245" s="1"/>
      <c r="K245" s="1"/>
      <c r="L245" s="491" t="s">
        <v>338</v>
      </c>
      <c r="M245" s="280"/>
      <c r="N245" s="1"/>
      <c r="O245" s="1"/>
      <c r="P245" s="22"/>
      <c r="R245" s="26" t="str">
        <f>TEXT(R244,"0")</f>
        <v>98</v>
      </c>
      <c r="S245" s="39" t="str">
        <f t="shared" ref="S245:U245" si="65">TEXT(S244,"0")</f>
        <v>58</v>
      </c>
      <c r="T245" s="39" t="str">
        <f t="shared" si="65"/>
        <v>30</v>
      </c>
      <c r="U245" s="16" t="str">
        <f t="shared" si="65"/>
        <v>c</v>
      </c>
    </row>
    <row r="246" spans="1:21" ht="15" customHeight="1" x14ac:dyDescent="0.2">
      <c r="A246" s="35"/>
      <c r="B246" s="1"/>
      <c r="C246" s="1"/>
      <c r="D246" s="1"/>
      <c r="E246" s="1"/>
      <c r="F246" s="1"/>
      <c r="G246" s="1"/>
      <c r="H246" s="1"/>
      <c r="I246" s="1"/>
      <c r="J246" s="1"/>
      <c r="K246" s="1"/>
      <c r="L246" s="491" t="s">
        <v>337</v>
      </c>
      <c r="M246" s="1"/>
      <c r="N246" s="1"/>
      <c r="O246" s="1"/>
      <c r="P246" s="22"/>
    </row>
    <row r="247" spans="1:21" ht="15" customHeight="1" x14ac:dyDescent="0.2">
      <c r="A247" s="35"/>
      <c r="B247" s="1"/>
      <c r="C247" s="1"/>
      <c r="D247" s="1"/>
      <c r="E247" s="1"/>
      <c r="F247" s="1"/>
      <c r="G247" s="1"/>
      <c r="H247" s="1"/>
      <c r="I247" s="1"/>
      <c r="J247" s="1"/>
      <c r="K247" s="1"/>
      <c r="L247" s="491" t="s">
        <v>336</v>
      </c>
      <c r="M247" s="1"/>
      <c r="N247" s="1"/>
      <c r="O247" s="1"/>
      <c r="P247" s="22"/>
    </row>
    <row r="248" spans="1:21" ht="15" customHeight="1" x14ac:dyDescent="0.2">
      <c r="A248" s="35"/>
      <c r="B248" s="1"/>
      <c r="C248" s="1"/>
      <c r="D248" s="1"/>
      <c r="E248" s="1"/>
      <c r="F248" s="1"/>
      <c r="G248" s="1"/>
      <c r="H248" s="1"/>
      <c r="I248" s="1"/>
      <c r="J248" s="1"/>
      <c r="K248" s="1"/>
      <c r="L248" s="491" t="s">
        <v>364</v>
      </c>
      <c r="M248" s="1"/>
      <c r="N248" s="1"/>
      <c r="O248" s="1"/>
      <c r="P248" s="22"/>
    </row>
    <row r="249" spans="1:21" ht="15" customHeight="1" x14ac:dyDescent="0.2">
      <c r="A249" s="35"/>
      <c r="B249" s="1"/>
      <c r="C249" s="1"/>
      <c r="D249" s="1"/>
      <c r="E249" s="1"/>
      <c r="F249" s="1"/>
      <c r="G249" s="1"/>
      <c r="H249" s="1"/>
      <c r="I249" s="1"/>
      <c r="J249" s="1"/>
      <c r="K249" s="1"/>
      <c r="L249" s="491" t="s">
        <v>365</v>
      </c>
      <c r="M249" s="1"/>
      <c r="N249" s="1"/>
      <c r="O249" s="1"/>
      <c r="P249" s="22"/>
    </row>
    <row r="250" spans="1:21" ht="15" customHeight="1" x14ac:dyDescent="0.2">
      <c r="A250" s="36"/>
      <c r="B250" s="24"/>
      <c r="C250" s="24"/>
      <c r="D250" s="24"/>
      <c r="E250" s="24"/>
      <c r="F250" s="24"/>
      <c r="G250" s="24"/>
      <c r="H250" s="24"/>
      <c r="I250" s="24"/>
      <c r="J250" s="24"/>
      <c r="K250" s="24"/>
      <c r="L250" s="24"/>
      <c r="M250" s="24"/>
      <c r="N250" s="24"/>
      <c r="O250" s="24"/>
      <c r="P250" s="17"/>
    </row>
    <row r="251" spans="1:21" ht="15" customHeight="1" x14ac:dyDescent="0.2"/>
    <row r="252" spans="1:21" ht="15" customHeight="1" x14ac:dyDescent="0.2"/>
    <row r="253" spans="1:21" ht="15" customHeight="1" x14ac:dyDescent="0.2"/>
    <row r="254" spans="1:21" ht="15" customHeight="1" x14ac:dyDescent="0.2"/>
    <row r="255" spans="1:21" ht="15" customHeight="1" x14ac:dyDescent="0.2"/>
    <row r="256" spans="1:21" ht="15" customHeight="1" x14ac:dyDescent="0.2"/>
    <row r="257" spans="1:21" ht="15" customHeight="1" x14ac:dyDescent="0.2"/>
    <row r="258" spans="1:21" ht="15" customHeight="1" x14ac:dyDescent="0.2"/>
    <row r="259" spans="1:21" ht="15" customHeight="1" x14ac:dyDescent="0.2"/>
    <row r="260" spans="1:21" ht="15" customHeight="1" x14ac:dyDescent="0.2"/>
    <row r="261" spans="1:21" ht="15" customHeight="1" x14ac:dyDescent="0.2"/>
    <row r="262" spans="1:21" ht="15" customHeight="1" x14ac:dyDescent="0.2"/>
    <row r="263" spans="1:21" ht="15" customHeight="1" x14ac:dyDescent="0.2"/>
    <row r="264" spans="1:21" ht="15" customHeight="1" x14ac:dyDescent="0.2"/>
    <row r="265" spans="1:21" ht="15" customHeight="1" x14ac:dyDescent="0.2"/>
    <row r="266" spans="1:21" ht="1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row>
    <row r="267" spans="1:21" ht="15" customHeight="1" x14ac:dyDescent="0.2"/>
    <row r="268" spans="1:21" ht="15" customHeight="1" x14ac:dyDescent="0.2"/>
    <row r="269" spans="1:21" ht="15" customHeight="1" x14ac:dyDescent="0.2"/>
    <row r="270" spans="1:21" ht="15" customHeight="1" x14ac:dyDescent="0.2"/>
    <row r="271" spans="1:21" ht="15" customHeight="1" x14ac:dyDescent="0.2"/>
    <row r="272" spans="1:21"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sheetData>
  <pageMargins left="0.45" right="0.45" top="0.5" bottom="0.5" header="0.3" footer="0.3"/>
  <pageSetup scale="77"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D7218-4C52-4572-AAFC-99B108034943}">
  <sheetPr transitionEvaluation="1" transitionEntry="1">
    <tabColor theme="8" tint="0.79998168889431442"/>
  </sheetPr>
  <dimension ref="A1:AD404"/>
  <sheetViews>
    <sheetView showGridLines="0" zoomScale="90" zoomScaleNormal="9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30" ht="15" customHeight="1" x14ac:dyDescent="0.2">
      <c r="K1" t="s">
        <v>26</v>
      </c>
      <c r="P1" s="28" t="s">
        <v>362</v>
      </c>
    </row>
    <row r="2" spans="1:30" ht="15" customHeight="1" x14ac:dyDescent="0.2">
      <c r="A2" s="343" t="s">
        <v>677</v>
      </c>
      <c r="B2" s="331" t="s">
        <v>185</v>
      </c>
      <c r="C2" s="332"/>
      <c r="D2" s="332"/>
      <c r="E2" s="332"/>
      <c r="F2" s="332"/>
    </row>
    <row r="3" spans="1:30" ht="15" customHeight="1" x14ac:dyDescent="0.2">
      <c r="A3" s="332"/>
      <c r="B3" s="348" t="s">
        <v>292</v>
      </c>
      <c r="C3" s="332"/>
      <c r="D3" s="332"/>
      <c r="E3" s="332"/>
      <c r="F3" s="332"/>
    </row>
    <row r="4" spans="1:30" ht="15" customHeight="1" x14ac:dyDescent="0.2">
      <c r="A4" s="332"/>
      <c r="B4" s="348" t="s">
        <v>307</v>
      </c>
      <c r="C4" s="332"/>
      <c r="D4" s="332"/>
      <c r="E4" s="332"/>
      <c r="F4" s="332"/>
      <c r="G4" s="332"/>
    </row>
    <row r="5" spans="1:30" ht="15" customHeight="1" x14ac:dyDescent="0.2">
      <c r="A5" s="332" t="s">
        <v>335</v>
      </c>
      <c r="B5" s="331" t="s">
        <v>186</v>
      </c>
      <c r="C5" s="332"/>
      <c r="D5" s="332"/>
      <c r="E5" s="332"/>
      <c r="F5" s="332"/>
      <c r="G5" s="332"/>
    </row>
    <row r="6" spans="1:30" ht="15" customHeight="1" x14ac:dyDescent="0.2">
      <c r="A6" s="332" t="s">
        <v>335</v>
      </c>
      <c r="B6" s="331" t="s">
        <v>196</v>
      </c>
      <c r="C6" s="332"/>
      <c r="D6" s="332"/>
      <c r="E6" s="332"/>
      <c r="F6" s="332"/>
    </row>
    <row r="7" spans="1:30" ht="15" customHeight="1" x14ac:dyDescent="0.2">
      <c r="A7" s="332"/>
      <c r="B7" s="332"/>
      <c r="C7" s="332"/>
      <c r="D7" s="332"/>
      <c r="E7" s="332"/>
      <c r="F7" s="332"/>
      <c r="P7" s="210" t="s">
        <v>106</v>
      </c>
      <c r="Q7" s="210" t="s">
        <v>107</v>
      </c>
      <c r="R7" s="211" t="s">
        <v>680</v>
      </c>
    </row>
    <row r="8" spans="1:30" ht="15" customHeight="1" thickBot="1" x14ac:dyDescent="0.25">
      <c r="B8" s="471" t="s">
        <v>4</v>
      </c>
      <c r="C8" s="472"/>
      <c r="D8" s="472"/>
      <c r="E8" s="7"/>
      <c r="F8" s="7"/>
      <c r="G8" s="7"/>
      <c r="H8" s="7"/>
      <c r="I8" s="7"/>
      <c r="J8" s="7"/>
      <c r="K8" s="7"/>
      <c r="L8" s="8"/>
      <c r="O8" s="212" t="s">
        <v>108</v>
      </c>
      <c r="P8">
        <v>77</v>
      </c>
      <c r="Q8">
        <v>73</v>
      </c>
      <c r="R8">
        <v>75</v>
      </c>
      <c r="Y8" s="349"/>
      <c r="Z8" s="349"/>
      <c r="AA8" s="349"/>
      <c r="AB8" s="349"/>
      <c r="AC8" s="349"/>
    </row>
    <row r="9" spans="1:30" ht="15" customHeight="1" x14ac:dyDescent="0.2">
      <c r="A9" t="s">
        <v>182</v>
      </c>
      <c r="B9" s="473" t="s">
        <v>259</v>
      </c>
      <c r="C9" s="474"/>
      <c r="D9" s="475"/>
      <c r="E9" s="158"/>
      <c r="F9" s="158"/>
      <c r="G9" s="158"/>
      <c r="H9" s="158"/>
      <c r="I9" s="158"/>
      <c r="J9" s="158"/>
      <c r="K9" s="158"/>
      <c r="L9" s="158"/>
      <c r="O9" s="212" t="s">
        <v>110</v>
      </c>
      <c r="P9" s="213">
        <v>73</v>
      </c>
      <c r="Q9" s="213">
        <v>69</v>
      </c>
      <c r="R9" s="213">
        <v>71</v>
      </c>
      <c r="Y9" s="349"/>
      <c r="Z9" s="349"/>
      <c r="AA9" s="349"/>
      <c r="AB9" s="349"/>
      <c r="AC9" s="349"/>
    </row>
    <row r="10" spans="1:30" ht="15" customHeight="1" x14ac:dyDescent="0.2">
      <c r="A10" t="s">
        <v>182</v>
      </c>
      <c r="B10" s="476" t="s">
        <v>681</v>
      </c>
      <c r="C10" s="440"/>
      <c r="D10" s="477"/>
      <c r="E10" s="158" t="s">
        <v>305</v>
      </c>
      <c r="F10" s="158"/>
      <c r="G10" s="158"/>
      <c r="H10" s="158"/>
      <c r="I10" s="158"/>
      <c r="J10" s="158"/>
      <c r="K10" s="158"/>
      <c r="L10" s="158"/>
      <c r="O10" s="211" t="s">
        <v>109</v>
      </c>
      <c r="P10">
        <f>P8-P9</f>
        <v>4</v>
      </c>
      <c r="Q10">
        <f>Q8-Q9</f>
        <v>4</v>
      </c>
      <c r="R10">
        <f>R8-R9</f>
        <v>4</v>
      </c>
      <c r="Y10" s="349"/>
      <c r="Z10" s="349"/>
      <c r="AA10" s="349"/>
      <c r="AB10" s="349"/>
      <c r="AC10" s="349"/>
    </row>
    <row r="11" spans="1:30" ht="15" customHeight="1" x14ac:dyDescent="0.2">
      <c r="A11" t="s">
        <v>182</v>
      </c>
      <c r="B11" s="476" t="s">
        <v>180</v>
      </c>
      <c r="C11" s="440"/>
      <c r="D11" s="477"/>
      <c r="E11" s="158"/>
      <c r="F11" s="158"/>
      <c r="G11" s="158"/>
      <c r="H11" s="158"/>
      <c r="I11" s="158"/>
      <c r="J11" s="158"/>
      <c r="K11" s="158"/>
      <c r="L11" s="158"/>
      <c r="Y11" s="349"/>
      <c r="Z11" s="349"/>
      <c r="AA11" s="349"/>
      <c r="AB11" s="349"/>
      <c r="AC11" s="349"/>
    </row>
    <row r="12" spans="1:30" ht="15" customHeight="1" x14ac:dyDescent="0.2">
      <c r="A12" t="s">
        <v>182</v>
      </c>
      <c r="B12" s="476" t="s">
        <v>678</v>
      </c>
      <c r="C12" s="440"/>
      <c r="D12" s="477"/>
      <c r="E12" s="478" t="s">
        <v>334</v>
      </c>
      <c r="F12" s="158"/>
      <c r="G12" s="158"/>
      <c r="H12" s="158"/>
      <c r="I12" s="158"/>
      <c r="J12" s="158"/>
      <c r="K12" s="158"/>
      <c r="L12" s="158"/>
      <c r="M12" s="41"/>
      <c r="Y12" s="349"/>
      <c r="Z12" s="349"/>
      <c r="AA12" s="349"/>
      <c r="AB12" s="349"/>
      <c r="AC12" s="349"/>
    </row>
    <row r="13" spans="1:30" ht="15" customHeight="1" thickBot="1" x14ac:dyDescent="0.25">
      <c r="A13" t="s">
        <v>182</v>
      </c>
      <c r="B13" s="479" t="s">
        <v>112</v>
      </c>
      <c r="C13" s="480" t="s">
        <v>328</v>
      </c>
      <c r="D13" s="481" t="s">
        <v>304</v>
      </c>
      <c r="E13" s="158" t="s">
        <v>276</v>
      </c>
      <c r="F13" s="158"/>
      <c r="G13" s="158"/>
      <c r="H13" s="158"/>
      <c r="I13" s="158"/>
      <c r="J13" s="158"/>
      <c r="K13" s="158"/>
      <c r="L13" s="158"/>
      <c r="M13" s="41"/>
      <c r="R13">
        <f>1.6/1.9</f>
        <v>0.8421052631578948</v>
      </c>
      <c r="U13" s="847" t="s">
        <v>305</v>
      </c>
      <c r="V13" s="9"/>
      <c r="W13" s="9"/>
      <c r="X13" s="9"/>
      <c r="Y13" s="848"/>
      <c r="Z13" s="848"/>
      <c r="AA13" s="848"/>
      <c r="AB13" s="848"/>
      <c r="AC13" s="848"/>
      <c r="AD13" s="10"/>
    </row>
    <row r="14" spans="1:30" ht="15" customHeight="1" thickBot="1" x14ac:dyDescent="0.25">
      <c r="A14" s="41"/>
      <c r="B14" s="209" t="s">
        <v>332</v>
      </c>
      <c r="C14" s="40"/>
      <c r="D14" s="40"/>
      <c r="E14" s="40"/>
      <c r="F14" s="40"/>
      <c r="G14" s="40"/>
      <c r="H14" s="40"/>
      <c r="I14" s="40"/>
      <c r="J14" s="40"/>
      <c r="K14" s="40"/>
      <c r="L14" s="40"/>
      <c r="M14" s="41"/>
      <c r="U14" s="35"/>
      <c r="V14" s="1"/>
      <c r="W14" s="1"/>
      <c r="X14" s="1"/>
      <c r="Y14" s="849"/>
      <c r="Z14" s="849"/>
      <c r="AA14" s="849"/>
      <c r="AB14" s="849"/>
      <c r="AC14" s="849"/>
      <c r="AD14" s="22"/>
    </row>
    <row r="15" spans="1:30" ht="15" customHeight="1" thickBot="1" x14ac:dyDescent="0.3">
      <c r="A15" s="41"/>
      <c r="B15" s="209"/>
      <c r="C15" s="40"/>
      <c r="D15" s="40"/>
      <c r="E15" s="40"/>
      <c r="F15" s="575" t="s">
        <v>471</v>
      </c>
      <c r="G15" s="576"/>
      <c r="H15" s="576"/>
      <c r="I15" s="576"/>
      <c r="J15" s="576"/>
      <c r="K15" s="577"/>
      <c r="L15" s="908" t="s">
        <v>682</v>
      </c>
      <c r="M15" s="41"/>
      <c r="U15" s="850" t="s">
        <v>294</v>
      </c>
      <c r="V15" s="851" t="s">
        <v>204</v>
      </c>
      <c r="W15" s="851"/>
      <c r="X15" s="849"/>
      <c r="Y15" s="849"/>
      <c r="Z15" s="849"/>
      <c r="AA15" s="849"/>
      <c r="AB15" s="849"/>
      <c r="AC15" s="849"/>
      <c r="AD15" s="22"/>
    </row>
    <row r="16" spans="1:30" ht="15" customHeight="1" x14ac:dyDescent="0.2">
      <c r="B16" s="910" t="s">
        <v>683</v>
      </c>
      <c r="C16" s="909" t="s">
        <v>684</v>
      </c>
      <c r="D16" s="40"/>
      <c r="E16" s="40"/>
      <c r="F16" s="40"/>
      <c r="G16" s="40"/>
      <c r="H16" s="40"/>
      <c r="I16" s="40"/>
      <c r="J16" s="40"/>
      <c r="K16" s="40"/>
      <c r="L16" s="40"/>
      <c r="M16" s="41"/>
      <c r="U16" s="852" t="s">
        <v>44</v>
      </c>
      <c r="V16" s="851" t="s">
        <v>205</v>
      </c>
      <c r="W16" s="851"/>
      <c r="X16" s="849"/>
      <c r="Y16" s="849"/>
      <c r="Z16" s="849"/>
      <c r="AA16" s="849"/>
      <c r="AB16" s="849"/>
      <c r="AC16" s="849"/>
      <c r="AD16" s="22"/>
    </row>
    <row r="17" spans="1:30" ht="15" customHeight="1" x14ac:dyDescent="0.2">
      <c r="A17" s="41"/>
      <c r="B17" s="904"/>
      <c r="M17" s="41"/>
      <c r="U17" s="852" t="s">
        <v>45</v>
      </c>
      <c r="V17" s="853" t="s">
        <v>223</v>
      </c>
      <c r="W17" s="851"/>
      <c r="X17" s="849"/>
      <c r="Y17" s="849"/>
      <c r="Z17" s="849"/>
      <c r="AA17" s="849"/>
      <c r="AB17" s="849"/>
      <c r="AC17" s="849"/>
      <c r="AD17" s="22"/>
    </row>
    <row r="18" spans="1:30" ht="15" customHeight="1" x14ac:dyDescent="0.2">
      <c r="A18" s="41"/>
      <c r="B18" s="357" t="s">
        <v>375</v>
      </c>
      <c r="C18" s="40"/>
      <c r="D18" s="40"/>
      <c r="E18" s="40"/>
      <c r="F18" s="40"/>
      <c r="G18" s="40"/>
      <c r="H18" s="40"/>
      <c r="I18" s="40"/>
      <c r="J18" s="40"/>
      <c r="K18" s="40"/>
      <c r="L18" s="40"/>
      <c r="M18" s="41"/>
      <c r="U18" s="852" t="s">
        <v>48</v>
      </c>
      <c r="V18" s="853" t="s">
        <v>217</v>
      </c>
      <c r="W18" s="851"/>
      <c r="X18" s="849"/>
      <c r="Y18" s="849"/>
      <c r="Z18" s="849"/>
      <c r="AA18" s="849"/>
      <c r="AB18" s="849"/>
      <c r="AC18" s="849"/>
      <c r="AD18" s="22"/>
    </row>
    <row r="19" spans="1:30" ht="15" customHeight="1" x14ac:dyDescent="0.2">
      <c r="A19" s="41"/>
      <c r="B19" s="336" t="s">
        <v>315</v>
      </c>
      <c r="C19" s="415">
        <v>17</v>
      </c>
      <c r="D19" s="9"/>
      <c r="E19" s="9"/>
      <c r="F19" s="341"/>
      <c r="G19" s="40"/>
      <c r="H19" s="40"/>
      <c r="I19" s="40"/>
      <c r="J19" s="40"/>
      <c r="K19" s="40"/>
      <c r="L19" s="40"/>
      <c r="M19" s="41"/>
      <c r="U19" s="852" t="s">
        <v>75</v>
      </c>
      <c r="V19" s="853" t="s">
        <v>214</v>
      </c>
      <c r="W19" s="851"/>
      <c r="X19" s="849"/>
      <c r="Y19" s="849"/>
      <c r="Z19" s="849"/>
      <c r="AA19" s="849"/>
      <c r="AB19" s="849"/>
      <c r="AC19" s="849"/>
      <c r="AD19" s="22"/>
    </row>
    <row r="20" spans="1:30" ht="15" customHeight="1" x14ac:dyDescent="0.2">
      <c r="A20" s="41"/>
      <c r="B20" s="338"/>
      <c r="C20" s="335" t="str">
        <f>G299</f>
        <v xml:space="preserve">C-ZETA CURVE NAME   (create manually) </v>
      </c>
      <c r="D20" s="40" t="str">
        <f>H299</f>
        <v xml:space="preserve"> 103_58_30_g</v>
      </c>
      <c r="E20" s="40"/>
      <c r="F20" s="339"/>
      <c r="G20" s="905" t="s">
        <v>659</v>
      </c>
      <c r="H20" s="40"/>
      <c r="I20" s="905" t="s">
        <v>659</v>
      </c>
      <c r="J20" s="40"/>
      <c r="K20" s="905" t="s">
        <v>659</v>
      </c>
      <c r="L20" s="40"/>
      <c r="M20" s="905" t="s">
        <v>659</v>
      </c>
      <c r="O20" s="905" t="s">
        <v>659</v>
      </c>
      <c r="Q20" s="905" t="s">
        <v>659</v>
      </c>
      <c r="U20" s="852" t="s">
        <v>80</v>
      </c>
      <c r="V20" s="853" t="s">
        <v>293</v>
      </c>
      <c r="W20" s="851"/>
      <c r="X20" s="849"/>
      <c r="Y20" s="849"/>
      <c r="Z20" s="849"/>
      <c r="AA20" s="849"/>
      <c r="AB20" s="849"/>
      <c r="AC20" s="849"/>
      <c r="AD20" s="22"/>
    </row>
    <row r="21" spans="1:30" ht="15" customHeight="1" x14ac:dyDescent="0.2">
      <c r="B21" s="340"/>
      <c r="C21" s="24"/>
      <c r="D21" s="24"/>
      <c r="E21" s="24"/>
      <c r="F21" s="17"/>
      <c r="U21" s="852"/>
      <c r="V21" s="853" t="s">
        <v>224</v>
      </c>
      <c r="W21" s="851"/>
      <c r="X21" s="849"/>
      <c r="Y21" s="849"/>
      <c r="Z21" s="849"/>
      <c r="AA21" s="849"/>
      <c r="AB21" s="849"/>
      <c r="AC21" s="849"/>
      <c r="AD21" s="22"/>
    </row>
    <row r="22" spans="1:30" ht="15" customHeight="1" x14ac:dyDescent="0.2">
      <c r="A22" s="90" t="s">
        <v>44</v>
      </c>
      <c r="B22" s="64" t="s">
        <v>62</v>
      </c>
      <c r="U22" s="852"/>
      <c r="V22" s="851" t="s">
        <v>208</v>
      </c>
      <c r="W22" s="851"/>
      <c r="X22" s="849"/>
      <c r="Y22" s="849"/>
      <c r="Z22" s="849"/>
      <c r="AA22" s="849"/>
      <c r="AB22" s="849"/>
      <c r="AC22" s="849"/>
      <c r="AD22" s="22"/>
    </row>
    <row r="23" spans="1:30" ht="15" customHeight="1" x14ac:dyDescent="0.2">
      <c r="U23" s="852" t="s">
        <v>82</v>
      </c>
      <c r="V23" s="851" t="s">
        <v>209</v>
      </c>
      <c r="W23" s="851"/>
      <c r="X23" s="849"/>
      <c r="Y23" s="849"/>
      <c r="Z23" s="849"/>
      <c r="AA23" s="849"/>
      <c r="AB23" s="849"/>
      <c r="AC23" s="849"/>
      <c r="AD23" s="22"/>
    </row>
    <row r="24" spans="1:30" ht="15" customHeight="1" x14ac:dyDescent="0.2">
      <c r="B24" s="28" t="s">
        <v>63</v>
      </c>
      <c r="U24" s="852" t="s">
        <v>85</v>
      </c>
      <c r="V24" s="851" t="s">
        <v>210</v>
      </c>
      <c r="W24" s="851"/>
      <c r="X24" s="849"/>
      <c r="Y24" s="849"/>
      <c r="Z24" s="849"/>
      <c r="AA24" s="849"/>
      <c r="AB24" s="849"/>
      <c r="AC24" s="849"/>
      <c r="AD24" s="22"/>
    </row>
    <row r="25" spans="1:30" ht="15" customHeight="1" x14ac:dyDescent="0.2">
      <c r="B25" s="28" t="s">
        <v>127</v>
      </c>
      <c r="U25" s="852" t="s">
        <v>95</v>
      </c>
      <c r="V25" s="853" t="s">
        <v>211</v>
      </c>
      <c r="W25" s="851"/>
      <c r="X25" s="849"/>
      <c r="Y25" s="849"/>
      <c r="Z25" s="849"/>
      <c r="AA25" s="849"/>
      <c r="AB25" s="849"/>
      <c r="AC25" s="849"/>
      <c r="AD25" s="22"/>
    </row>
    <row r="26" spans="1:30" ht="15" customHeight="1" x14ac:dyDescent="0.2">
      <c r="A26" t="s">
        <v>587</v>
      </c>
      <c r="C26" s="28" t="s">
        <v>614</v>
      </c>
      <c r="I26" s="1"/>
      <c r="J26" s="1"/>
      <c r="U26" s="852" t="s">
        <v>98</v>
      </c>
      <c r="V26" s="853" t="s">
        <v>212</v>
      </c>
      <c r="W26" s="851"/>
      <c r="X26" s="849"/>
      <c r="Y26" s="1"/>
      <c r="Z26" s="1"/>
      <c r="AA26" s="1"/>
      <c r="AB26" s="1"/>
      <c r="AC26" s="1"/>
      <c r="AD26" s="22"/>
    </row>
    <row r="27" spans="1:30" ht="15" customHeight="1" x14ac:dyDescent="0.2">
      <c r="B27" s="67"/>
      <c r="C27" s="396" t="s">
        <v>28</v>
      </c>
      <c r="D27" s="396" t="s">
        <v>28</v>
      </c>
      <c r="E27" s="400" t="s">
        <v>28</v>
      </c>
      <c r="G27" s="382" t="s">
        <v>125</v>
      </c>
      <c r="I27" t="s">
        <v>587</v>
      </c>
      <c r="J27" s="1"/>
      <c r="U27" s="854" t="s">
        <v>226</v>
      </c>
      <c r="V27" s="851"/>
      <c r="W27" s="851"/>
      <c r="X27" s="849"/>
      <c r="Y27" s="1"/>
      <c r="Z27" s="1"/>
      <c r="AA27" s="1"/>
      <c r="AB27" s="1"/>
      <c r="AC27" s="1"/>
      <c r="AD27" s="22"/>
    </row>
    <row r="28" spans="1:30" ht="15" customHeight="1" x14ac:dyDescent="0.2">
      <c r="B28" s="67"/>
      <c r="C28" s="388" t="s">
        <v>260</v>
      </c>
      <c r="D28" s="388" t="s">
        <v>261</v>
      </c>
      <c r="E28" s="388" t="s">
        <v>31</v>
      </c>
      <c r="G28" s="383" t="s">
        <v>34</v>
      </c>
      <c r="I28" s="1" t="s">
        <v>606</v>
      </c>
      <c r="U28" s="855" t="s">
        <v>295</v>
      </c>
      <c r="V28" s="856"/>
      <c r="W28" s="856"/>
      <c r="X28" s="857"/>
      <c r="Y28" s="24"/>
      <c r="Z28" s="24"/>
      <c r="AA28" s="24"/>
      <c r="AB28" s="24"/>
      <c r="AC28" s="24"/>
      <c r="AD28" s="17"/>
    </row>
    <row r="29" spans="1:30" ht="15" customHeight="1" x14ac:dyDescent="0.2">
      <c r="B29" s="68" t="s">
        <v>21</v>
      </c>
      <c r="C29" s="397" t="s">
        <v>29</v>
      </c>
      <c r="D29" s="397" t="s">
        <v>30</v>
      </c>
      <c r="E29" s="395" t="s">
        <v>74</v>
      </c>
      <c r="G29" s="383" t="s">
        <v>35</v>
      </c>
      <c r="I29" t="s">
        <v>605</v>
      </c>
      <c r="X29" s="349"/>
    </row>
    <row r="30" spans="1:30" ht="15" customHeight="1" x14ac:dyDescent="0.2">
      <c r="A30" s="398">
        <v>1</v>
      </c>
      <c r="B30" s="68">
        <v>1</v>
      </c>
      <c r="C30" s="398">
        <v>2</v>
      </c>
      <c r="D30" s="398">
        <v>2.1</v>
      </c>
      <c r="E30" s="389">
        <f>SUM(C30:D30)/2</f>
        <v>2.0499999999999998</v>
      </c>
      <c r="F30" s="866">
        <f>C30/D30</f>
        <v>0.95238095238095233</v>
      </c>
      <c r="G30" s="874">
        <v>0.9</v>
      </c>
      <c r="I30" s="28" t="s">
        <v>613</v>
      </c>
      <c r="U30" t="s">
        <v>587</v>
      </c>
    </row>
    <row r="31" spans="1:30" ht="15" customHeight="1" x14ac:dyDescent="0.2">
      <c r="A31" s="871">
        <v>2.2999999999999998</v>
      </c>
      <c r="B31" s="68">
        <v>2</v>
      </c>
      <c r="C31" s="871">
        <v>4</v>
      </c>
      <c r="D31" s="871">
        <v>3</v>
      </c>
      <c r="E31" s="872">
        <f t="shared" ref="E31:E39" si="0">SUM(C31:D31)/2</f>
        <v>3.5</v>
      </c>
      <c r="F31" s="866">
        <f t="shared" ref="F31:F39" si="1">C31/D31</f>
        <v>1.3333333333333333</v>
      </c>
      <c r="G31" s="385">
        <v>1.6</v>
      </c>
      <c r="U31" s="79">
        <v>18</v>
      </c>
      <c r="V31" s="10" t="s">
        <v>591</v>
      </c>
      <c r="W31" s="848"/>
      <c r="X31" s="79">
        <v>50</v>
      </c>
      <c r="Y31" s="10" t="s">
        <v>591</v>
      </c>
      <c r="Z31" s="9"/>
      <c r="AA31" s="861" t="s">
        <v>598</v>
      </c>
      <c r="AB31" s="10"/>
      <c r="AC31" s="9"/>
      <c r="AD31" s="10"/>
    </row>
    <row r="32" spans="1:30" ht="15" customHeight="1" x14ac:dyDescent="0.2">
      <c r="A32" s="398">
        <v>3.6</v>
      </c>
      <c r="B32" s="68">
        <v>3</v>
      </c>
      <c r="C32" s="398">
        <v>5.9</v>
      </c>
      <c r="D32" s="398">
        <v>3.9</v>
      </c>
      <c r="E32" s="389">
        <f t="shared" si="0"/>
        <v>4.9000000000000004</v>
      </c>
      <c r="F32" s="866">
        <f t="shared" si="1"/>
        <v>1.512820512820513</v>
      </c>
      <c r="G32" s="386">
        <v>2.6</v>
      </c>
      <c r="U32" s="859">
        <f>((U31/2)^2*3.1416)</f>
        <v>254.46959999999999</v>
      </c>
      <c r="V32" s="858" t="s">
        <v>592</v>
      </c>
      <c r="W32" s="1"/>
      <c r="X32" s="859">
        <f>((X31/2)^2*3.1416)</f>
        <v>1963.5</v>
      </c>
      <c r="Y32" s="858" t="s">
        <v>592</v>
      </c>
      <c r="Z32" s="1"/>
      <c r="AA32" s="860">
        <f>U32/X32</f>
        <v>0.12959999999999999</v>
      </c>
      <c r="AB32" s="17"/>
      <c r="AC32" s="1"/>
      <c r="AD32" s="22"/>
    </row>
    <row r="33" spans="1:30" ht="15" customHeight="1" x14ac:dyDescent="0.2">
      <c r="A33" s="398">
        <v>4.8</v>
      </c>
      <c r="B33" s="68">
        <v>4</v>
      </c>
      <c r="C33" s="398">
        <v>7.7</v>
      </c>
      <c r="D33" s="398">
        <v>4.8499999999999996</v>
      </c>
      <c r="E33" s="389">
        <f t="shared" si="0"/>
        <v>6.2750000000000004</v>
      </c>
      <c r="F33" s="866">
        <f t="shared" si="1"/>
        <v>1.5876288659793816</v>
      </c>
      <c r="G33" s="386">
        <v>3.8</v>
      </c>
      <c r="U33" s="35"/>
      <c r="V33" s="1"/>
      <c r="W33" s="1"/>
      <c r="X33" s="1"/>
      <c r="Y33" s="1"/>
      <c r="Z33" s="1"/>
      <c r="AA33" s="861" t="s">
        <v>599</v>
      </c>
      <c r="AB33" s="10"/>
      <c r="AC33" s="1"/>
      <c r="AD33" s="22"/>
    </row>
    <row r="34" spans="1:30" ht="15" customHeight="1" x14ac:dyDescent="0.2">
      <c r="A34" s="398">
        <v>5.9</v>
      </c>
      <c r="B34" s="68">
        <v>5</v>
      </c>
      <c r="C34" s="398">
        <v>9.5</v>
      </c>
      <c r="D34" s="398">
        <v>5.8</v>
      </c>
      <c r="E34" s="389">
        <f t="shared" si="0"/>
        <v>7.65</v>
      </c>
      <c r="F34" s="866">
        <f t="shared" si="1"/>
        <v>1.6379310344827587</v>
      </c>
      <c r="G34" s="874">
        <v>5.0999999999999996</v>
      </c>
      <c r="U34" s="35" t="s">
        <v>589</v>
      </c>
      <c r="V34" s="1"/>
      <c r="W34" s="1"/>
      <c r="X34" s="1"/>
      <c r="Y34" s="1"/>
      <c r="Z34" s="1"/>
      <c r="AA34" s="860">
        <f>U32/(X32-U32)</f>
        <v>0.14889705882352938</v>
      </c>
      <c r="AB34" s="17"/>
      <c r="AC34" s="1"/>
      <c r="AD34" s="22"/>
    </row>
    <row r="35" spans="1:30" ht="15" customHeight="1" x14ac:dyDescent="0.2">
      <c r="A35" s="871">
        <v>10.5</v>
      </c>
      <c r="B35" s="68">
        <v>10</v>
      </c>
      <c r="C35" s="871">
        <v>13</v>
      </c>
      <c r="D35" s="871">
        <v>10.4</v>
      </c>
      <c r="E35" s="872">
        <f t="shared" si="0"/>
        <v>11.7</v>
      </c>
      <c r="F35" s="866">
        <f t="shared" si="1"/>
        <v>1.25</v>
      </c>
      <c r="G35" s="385">
        <v>15.1</v>
      </c>
      <c r="U35" s="854" t="s">
        <v>595</v>
      </c>
      <c r="V35" s="849"/>
      <c r="W35" s="849"/>
      <c r="X35" s="849"/>
      <c r="Y35" s="1"/>
      <c r="Z35" s="1"/>
      <c r="AA35" s="1"/>
      <c r="AB35" s="1"/>
      <c r="AC35" s="1"/>
      <c r="AD35" s="22"/>
    </row>
    <row r="36" spans="1:30" ht="15" customHeight="1" x14ac:dyDescent="0.2">
      <c r="A36" s="398">
        <v>15</v>
      </c>
      <c r="B36" s="68">
        <v>20</v>
      </c>
      <c r="C36" s="398">
        <v>15</v>
      </c>
      <c r="D36" s="398">
        <v>15</v>
      </c>
      <c r="E36" s="389">
        <f t="shared" si="0"/>
        <v>15</v>
      </c>
      <c r="F36" s="866">
        <f t="shared" si="1"/>
        <v>1</v>
      </c>
      <c r="G36" s="386">
        <v>44</v>
      </c>
      <c r="U36" s="487" t="s">
        <v>593</v>
      </c>
      <c r="V36" s="1"/>
      <c r="W36" s="1"/>
      <c r="X36" s="1"/>
      <c r="Y36" s="1"/>
      <c r="Z36" s="1"/>
      <c r="AA36" s="1"/>
      <c r="AB36" s="1"/>
      <c r="AC36" s="1"/>
      <c r="AD36" s="22"/>
    </row>
    <row r="37" spans="1:30" ht="15" customHeight="1" x14ac:dyDescent="0.2">
      <c r="A37" s="398">
        <v>15</v>
      </c>
      <c r="B37" s="68">
        <v>30</v>
      </c>
      <c r="C37" s="398">
        <v>15</v>
      </c>
      <c r="D37" s="398">
        <v>15</v>
      </c>
      <c r="E37" s="389">
        <f t="shared" si="0"/>
        <v>15</v>
      </c>
      <c r="F37" s="866">
        <f t="shared" si="1"/>
        <v>1</v>
      </c>
      <c r="G37" s="386">
        <v>63.1</v>
      </c>
      <c r="U37" s="821" t="s">
        <v>594</v>
      </c>
      <c r="V37" s="862"/>
      <c r="W37" s="862"/>
      <c r="X37" s="862"/>
      <c r="Y37" s="1"/>
      <c r="Z37" s="1"/>
      <c r="AA37" s="1"/>
      <c r="AB37" s="1"/>
      <c r="AC37" s="1"/>
      <c r="AD37" s="22"/>
    </row>
    <row r="38" spans="1:30" ht="15" customHeight="1" x14ac:dyDescent="0.2">
      <c r="A38" s="398">
        <v>15</v>
      </c>
      <c r="B38" s="68">
        <v>40</v>
      </c>
      <c r="C38" s="398">
        <v>15</v>
      </c>
      <c r="D38" s="398">
        <v>15</v>
      </c>
      <c r="E38" s="389">
        <f t="shared" si="0"/>
        <v>15</v>
      </c>
      <c r="F38" s="866">
        <f t="shared" si="1"/>
        <v>1</v>
      </c>
      <c r="G38" s="386">
        <v>78.8</v>
      </c>
      <c r="H38" s="1"/>
      <c r="U38" s="35">
        <v>62</v>
      </c>
      <c r="V38" s="1">
        <v>3.7</v>
      </c>
      <c r="W38" s="1">
        <f>SUM(U38:V38)</f>
        <v>65.7</v>
      </c>
      <c r="X38" s="863">
        <f>V38/W38</f>
        <v>5.6316590563165903E-2</v>
      </c>
      <c r="Y38" s="1"/>
      <c r="Z38" s="1"/>
      <c r="AA38" s="1"/>
      <c r="AB38" s="1"/>
      <c r="AC38" s="1"/>
      <c r="AD38" s="22"/>
    </row>
    <row r="39" spans="1:30" ht="15" customHeight="1" x14ac:dyDescent="0.2">
      <c r="A39" s="725">
        <v>15</v>
      </c>
      <c r="B39" s="68">
        <v>50</v>
      </c>
      <c r="C39" s="725">
        <v>15</v>
      </c>
      <c r="D39" s="725">
        <v>15</v>
      </c>
      <c r="E39" s="873">
        <f t="shared" si="0"/>
        <v>15</v>
      </c>
      <c r="F39" s="866">
        <f t="shared" si="1"/>
        <v>1</v>
      </c>
      <c r="G39" s="387">
        <v>93.8</v>
      </c>
      <c r="U39" s="35">
        <v>184.1</v>
      </c>
      <c r="V39" s="1">
        <v>22.9</v>
      </c>
      <c r="W39" s="1">
        <f t="shared" ref="W39:W40" si="2">SUM(U39:V39)</f>
        <v>207</v>
      </c>
      <c r="X39" s="863">
        <f t="shared" ref="X39:X40" si="3">V39/W39</f>
        <v>0.11062801932367149</v>
      </c>
      <c r="Y39" s="1"/>
      <c r="Z39" s="1"/>
      <c r="AA39" s="1"/>
      <c r="AB39" s="1"/>
      <c r="AC39" s="1"/>
      <c r="AD39" s="22"/>
    </row>
    <row r="40" spans="1:30" ht="15" customHeight="1" x14ac:dyDescent="0.2">
      <c r="U40" s="35">
        <v>575.6</v>
      </c>
      <c r="V40" s="1">
        <v>80.3</v>
      </c>
      <c r="W40" s="1">
        <f t="shared" si="2"/>
        <v>655.9</v>
      </c>
      <c r="X40" s="863">
        <f t="shared" si="3"/>
        <v>0.12242719926818113</v>
      </c>
      <c r="Y40" s="1"/>
      <c r="Z40" s="1"/>
      <c r="AA40" s="1"/>
      <c r="AB40" s="1"/>
      <c r="AC40" s="1"/>
      <c r="AD40" s="22"/>
    </row>
    <row r="41" spans="1:30" ht="15" customHeight="1" x14ac:dyDescent="0.2">
      <c r="A41" t="s">
        <v>587</v>
      </c>
      <c r="C41" s="28" t="s">
        <v>588</v>
      </c>
      <c r="U41" s="35"/>
      <c r="V41" s="1"/>
      <c r="W41" s="1"/>
      <c r="X41" s="1"/>
      <c r="Y41" s="1"/>
      <c r="Z41" s="1"/>
      <c r="AA41" s="1"/>
      <c r="AB41" s="1"/>
      <c r="AC41" s="1"/>
      <c r="AD41" s="22"/>
    </row>
    <row r="42" spans="1:30" ht="15" customHeight="1" x14ac:dyDescent="0.2">
      <c r="C42" s="28" t="s">
        <v>600</v>
      </c>
      <c r="U42" s="487" t="s">
        <v>590</v>
      </c>
      <c r="V42" s="1"/>
      <c r="W42" s="1"/>
      <c r="X42" s="1"/>
      <c r="Y42" s="1"/>
      <c r="Z42" s="1"/>
      <c r="AA42" s="1"/>
      <c r="AB42" s="1"/>
      <c r="AC42" s="1"/>
      <c r="AD42" s="22"/>
    </row>
    <row r="43" spans="1:30" ht="15" customHeight="1" x14ac:dyDescent="0.2">
      <c r="C43" s="583" t="s">
        <v>604</v>
      </c>
      <c r="U43" s="487" t="s">
        <v>596</v>
      </c>
      <c r="V43" s="1"/>
      <c r="W43" s="1"/>
      <c r="X43" s="1"/>
      <c r="Y43" s="1"/>
      <c r="Z43" s="1"/>
      <c r="AA43" s="1"/>
      <c r="AB43" s="1"/>
      <c r="AC43" s="1"/>
      <c r="AD43" s="22"/>
    </row>
    <row r="44" spans="1:30" ht="15" customHeight="1" x14ac:dyDescent="0.2">
      <c r="U44" s="487" t="s">
        <v>597</v>
      </c>
      <c r="V44" s="1"/>
      <c r="W44" s="1"/>
      <c r="X44" s="1"/>
      <c r="Y44" s="1"/>
      <c r="Z44" s="1"/>
      <c r="AA44" s="1"/>
      <c r="AB44" s="1"/>
      <c r="AC44" s="1"/>
      <c r="AD44" s="22"/>
    </row>
    <row r="45" spans="1:30" ht="15" customHeight="1" x14ac:dyDescent="0.2">
      <c r="U45" s="35">
        <v>62</v>
      </c>
      <c r="V45" s="1">
        <v>3.7</v>
      </c>
      <c r="W45" s="864">
        <f>V45/U45</f>
        <v>5.9677419354838709E-2</v>
      </c>
      <c r="X45" s="1"/>
      <c r="Y45" s="1"/>
      <c r="Z45" s="1"/>
      <c r="AA45" s="1"/>
      <c r="AB45" s="1"/>
      <c r="AC45" s="1"/>
      <c r="AD45" s="22"/>
    </row>
    <row r="46" spans="1:30" ht="15" customHeight="1" x14ac:dyDescent="0.2">
      <c r="U46" s="35">
        <v>184.1</v>
      </c>
      <c r="V46" s="1">
        <v>22.9</v>
      </c>
      <c r="W46" s="864">
        <f t="shared" ref="W46:W47" si="4">V46/U46</f>
        <v>0.12438891906572515</v>
      </c>
      <c r="X46" s="1"/>
      <c r="Y46" s="1">
        <f>18/50</f>
        <v>0.36</v>
      </c>
      <c r="Z46" s="1"/>
      <c r="AA46" s="849"/>
      <c r="AB46" s="849"/>
      <c r="AC46" s="849"/>
      <c r="AD46" s="22"/>
    </row>
    <row r="47" spans="1:30" ht="15" customHeight="1" x14ac:dyDescent="0.2">
      <c r="U47" s="36">
        <v>575.6</v>
      </c>
      <c r="V47" s="24">
        <v>80.3</v>
      </c>
      <c r="W47" s="865">
        <f t="shared" si="4"/>
        <v>0.13950660180681027</v>
      </c>
      <c r="X47" s="24"/>
      <c r="Y47" s="24"/>
      <c r="Z47" s="857"/>
      <c r="AA47" s="857"/>
      <c r="AB47" s="857"/>
      <c r="AC47" s="857"/>
      <c r="AD47" s="17"/>
    </row>
    <row r="48" spans="1:30"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B49" t="s">
        <v>587</v>
      </c>
      <c r="D49" t="s">
        <v>615</v>
      </c>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t="s">
        <v>208</v>
      </c>
      <c r="Z50" s="349"/>
      <c r="AA50" s="349"/>
      <c r="AB50" s="349"/>
      <c r="AC50" s="349"/>
    </row>
    <row r="51" spans="1:29" ht="15" customHeight="1" x14ac:dyDescent="0.2">
      <c r="A51" s="64"/>
      <c r="B51" s="274"/>
      <c r="C51" s="816" t="s">
        <v>550</v>
      </c>
      <c r="D51" s="2"/>
      <c r="E51" s="2"/>
      <c r="F51" s="816" t="s">
        <v>553</v>
      </c>
      <c r="G51" s="2"/>
      <c r="H51" s="2"/>
      <c r="I51" s="817" t="s">
        <v>556</v>
      </c>
      <c r="K51" s="747"/>
      <c r="L51" s="255" t="s">
        <v>479</v>
      </c>
      <c r="M51" s="747"/>
      <c r="N51" s="255" t="s">
        <v>480</v>
      </c>
      <c r="O51" s="747"/>
      <c r="P51" s="255">
        <v>3423</v>
      </c>
      <c r="Q51" s="747"/>
      <c r="R51" s="255">
        <v>3171</v>
      </c>
      <c r="S51" s="747"/>
      <c r="T51" s="255">
        <v>3304</v>
      </c>
      <c r="AC51" s="349"/>
    </row>
    <row r="52" spans="1:29" ht="15" customHeight="1" x14ac:dyDescent="0.2">
      <c r="A52" s="64"/>
      <c r="B52" s="274"/>
      <c r="C52" s="2"/>
      <c r="D52" s="816" t="s">
        <v>551</v>
      </c>
      <c r="E52" s="2"/>
      <c r="F52" s="818"/>
      <c r="G52" s="816" t="s">
        <v>554</v>
      </c>
      <c r="H52" s="818"/>
      <c r="I52" s="13"/>
      <c r="K52" s="754" t="s">
        <v>21</v>
      </c>
      <c r="L52" s="755" t="s">
        <v>33</v>
      </c>
      <c r="M52" s="754" t="s">
        <v>21</v>
      </c>
      <c r="N52" s="755" t="s">
        <v>33</v>
      </c>
      <c r="O52" s="754" t="s">
        <v>21</v>
      </c>
      <c r="P52" s="755" t="s">
        <v>33</v>
      </c>
      <c r="Q52" s="754" t="s">
        <v>21</v>
      </c>
      <c r="R52" s="755" t="s">
        <v>33</v>
      </c>
      <c r="S52" s="754" t="s">
        <v>21</v>
      </c>
      <c r="T52" s="755" t="s">
        <v>33</v>
      </c>
      <c r="AC52" s="349"/>
    </row>
    <row r="53" spans="1:29" ht="15" customHeight="1" x14ac:dyDescent="0.2">
      <c r="A53" s="64"/>
      <c r="B53" s="274"/>
      <c r="C53" s="818"/>
      <c r="D53" s="2"/>
      <c r="E53" s="819" t="s">
        <v>552</v>
      </c>
      <c r="F53" s="2"/>
      <c r="G53" s="816"/>
      <c r="H53" s="816" t="s">
        <v>555</v>
      </c>
      <c r="I53" s="820"/>
      <c r="K53" s="744">
        <v>1</v>
      </c>
      <c r="L53" s="82">
        <v>31.26</v>
      </c>
      <c r="M53" s="744">
        <v>1</v>
      </c>
      <c r="N53" s="82">
        <v>39.21</v>
      </c>
      <c r="O53" s="744">
        <v>1</v>
      </c>
      <c r="P53" s="756">
        <v>33.700000000000003</v>
      </c>
      <c r="Q53" s="744">
        <v>1</v>
      </c>
      <c r="R53" s="82">
        <v>27.55</v>
      </c>
      <c r="S53" s="744">
        <v>1</v>
      </c>
      <c r="T53" s="82">
        <v>29.67</v>
      </c>
      <c r="AC53" s="349"/>
    </row>
    <row r="54" spans="1:29" ht="15" customHeight="1" x14ac:dyDescent="0.2">
      <c r="B54" s="35"/>
      <c r="C54" s="1"/>
      <c r="D54" s="1"/>
      <c r="E54" s="1"/>
      <c r="F54" s="1"/>
      <c r="G54" s="1"/>
      <c r="H54" s="1"/>
      <c r="I54" s="22"/>
      <c r="K54" s="744">
        <v>2</v>
      </c>
      <c r="L54" s="82">
        <v>53.24</v>
      </c>
      <c r="M54" s="744">
        <v>2</v>
      </c>
      <c r="N54" s="82">
        <v>62.78</v>
      </c>
      <c r="O54" s="744">
        <v>2</v>
      </c>
      <c r="P54" s="82">
        <v>61.99</v>
      </c>
      <c r="Q54" s="744">
        <v>2</v>
      </c>
      <c r="R54" s="82">
        <v>50.86</v>
      </c>
      <c r="S54" s="744">
        <v>2</v>
      </c>
      <c r="T54" s="82">
        <v>57.48</v>
      </c>
      <c r="AC54" s="349"/>
    </row>
    <row r="55" spans="1:29" ht="15" customHeight="1" x14ac:dyDescent="0.2">
      <c r="B55" s="821"/>
      <c r="C55" s="396" t="s">
        <v>28</v>
      </c>
      <c r="D55" s="396" t="s">
        <v>28</v>
      </c>
      <c r="E55" s="396" t="s">
        <v>28</v>
      </c>
      <c r="F55" s="396" t="s">
        <v>28</v>
      </c>
      <c r="G55" s="396" t="s">
        <v>28</v>
      </c>
      <c r="H55" s="396" t="s">
        <v>28</v>
      </c>
      <c r="I55" s="396" t="s">
        <v>28</v>
      </c>
      <c r="K55" s="744">
        <v>3</v>
      </c>
      <c r="L55" s="82">
        <v>70.459999999999994</v>
      </c>
      <c r="M55" s="744">
        <v>3</v>
      </c>
      <c r="N55" s="82">
        <v>82.38</v>
      </c>
      <c r="O55" s="744">
        <v>3</v>
      </c>
      <c r="P55" s="756">
        <v>83.7</v>
      </c>
      <c r="Q55" s="744">
        <v>3</v>
      </c>
      <c r="R55" s="82">
        <v>70.2</v>
      </c>
      <c r="S55" s="744">
        <v>3</v>
      </c>
      <c r="T55" s="82">
        <v>79.47</v>
      </c>
      <c r="AC55" s="349"/>
    </row>
    <row r="56" spans="1:29" ht="15" customHeight="1" x14ac:dyDescent="0.2">
      <c r="B56" s="821"/>
      <c r="C56" s="815">
        <v>0</v>
      </c>
      <c r="D56" s="815">
        <v>1</v>
      </c>
      <c r="E56" s="815">
        <v>2</v>
      </c>
      <c r="F56" s="815">
        <v>3</v>
      </c>
      <c r="G56" s="815">
        <v>4</v>
      </c>
      <c r="H56" s="815">
        <v>5</v>
      </c>
      <c r="I56" s="815">
        <v>6</v>
      </c>
      <c r="K56" s="744">
        <v>4</v>
      </c>
      <c r="L56" s="82">
        <v>87.42</v>
      </c>
      <c r="M56" s="744">
        <v>4</v>
      </c>
      <c r="N56" s="82">
        <v>100.13</v>
      </c>
      <c r="O56" s="744">
        <v>4</v>
      </c>
      <c r="P56" s="756">
        <v>103.5</v>
      </c>
      <c r="Q56" s="744">
        <v>4</v>
      </c>
      <c r="R56" s="82">
        <v>88.21</v>
      </c>
      <c r="S56" s="744">
        <v>4</v>
      </c>
      <c r="T56" s="82">
        <v>96.42</v>
      </c>
    </row>
    <row r="57" spans="1:29" ht="15" customHeight="1" x14ac:dyDescent="0.2">
      <c r="B57" s="821"/>
      <c r="C57" s="867" t="s">
        <v>616</v>
      </c>
      <c r="D57" s="867" t="s">
        <v>617</v>
      </c>
      <c r="E57" s="867" t="s">
        <v>618</v>
      </c>
      <c r="F57" s="867" t="s">
        <v>619</v>
      </c>
      <c r="G57" s="867" t="s">
        <v>620</v>
      </c>
      <c r="H57" s="867" t="s">
        <v>621</v>
      </c>
      <c r="I57" s="388" t="s">
        <v>622</v>
      </c>
      <c r="K57" s="744">
        <v>5</v>
      </c>
      <c r="L57" s="82">
        <v>101.72</v>
      </c>
      <c r="M57" s="744">
        <v>5</v>
      </c>
      <c r="N57" s="82">
        <v>113.64</v>
      </c>
      <c r="O57" s="744">
        <v>5</v>
      </c>
      <c r="P57" s="82">
        <v>117.88</v>
      </c>
      <c r="Q57" s="744">
        <v>5</v>
      </c>
      <c r="R57" s="82">
        <v>104.64</v>
      </c>
      <c r="S57" s="744">
        <v>5</v>
      </c>
      <c r="T57" s="82">
        <v>113.38</v>
      </c>
    </row>
    <row r="58" spans="1:29" ht="15" customHeight="1" x14ac:dyDescent="0.2">
      <c r="B58" s="822" t="s">
        <v>21</v>
      </c>
      <c r="C58" s="397"/>
      <c r="D58" s="397"/>
      <c r="E58" s="397"/>
      <c r="F58" s="397"/>
      <c r="G58" s="397"/>
      <c r="H58" s="397"/>
      <c r="I58" s="397"/>
      <c r="K58" s="35"/>
      <c r="L58" s="22"/>
      <c r="M58" s="36"/>
      <c r="N58" s="17"/>
      <c r="O58" s="36"/>
      <c r="P58" s="17"/>
      <c r="Q58" s="36"/>
      <c r="R58" s="17"/>
      <c r="S58" s="36"/>
      <c r="T58" s="17"/>
    </row>
    <row r="59" spans="1:29" ht="15" customHeight="1" x14ac:dyDescent="0.2">
      <c r="B59" s="822">
        <v>1</v>
      </c>
      <c r="C59" s="812">
        <f>D30/100</f>
        <v>2.1000000000000001E-2</v>
      </c>
      <c r="D59" s="812">
        <f>(($I59-$C59)/6)*D$56+$C59</f>
        <v>4.2500000000000003E-2</v>
      </c>
      <c r="E59" s="812">
        <f t="shared" ref="D59:H68" si="5">(($I59-$C59)/6)*E$56+$C59</f>
        <v>6.4000000000000001E-2</v>
      </c>
      <c r="F59" s="812">
        <f t="shared" si="5"/>
        <v>8.5500000000000007E-2</v>
      </c>
      <c r="G59" s="812">
        <f t="shared" si="5"/>
        <v>0.10700000000000001</v>
      </c>
      <c r="H59" s="812">
        <f>(($I59-$C59)/6)*H$56+$C59</f>
        <v>0.1285</v>
      </c>
      <c r="I59" s="723">
        <v>0.15</v>
      </c>
      <c r="K59" s="757" t="s">
        <v>445</v>
      </c>
      <c r="L59" s="758">
        <f>L54/L$53</f>
        <v>1.7031349968010236</v>
      </c>
      <c r="M59" s="757" t="s">
        <v>445</v>
      </c>
      <c r="N59" s="758">
        <f>N54/N$53</f>
        <v>1.6011221627135934</v>
      </c>
      <c r="O59" s="757" t="s">
        <v>445</v>
      </c>
      <c r="P59" s="758">
        <f>P54/P$53</f>
        <v>1.8394658753709199</v>
      </c>
      <c r="Q59" s="757" t="s">
        <v>445</v>
      </c>
      <c r="R59" s="758">
        <f>R54/R$53</f>
        <v>1.8460980036297641</v>
      </c>
      <c r="S59" s="757" t="s">
        <v>445</v>
      </c>
      <c r="T59" s="758">
        <f>T54/T$53</f>
        <v>1.9373104145601616</v>
      </c>
      <c r="U59" t="s">
        <v>487</v>
      </c>
    </row>
    <row r="60" spans="1:29" ht="15" customHeight="1" x14ac:dyDescent="0.2">
      <c r="B60" s="822">
        <v>2</v>
      </c>
      <c r="C60" s="813">
        <f t="shared" ref="C60:C68" si="6">D31/100</f>
        <v>0.03</v>
      </c>
      <c r="D60" s="813">
        <f t="shared" si="5"/>
        <v>0.05</v>
      </c>
      <c r="E60" s="813">
        <f t="shared" si="5"/>
        <v>7.0000000000000007E-2</v>
      </c>
      <c r="F60" s="813">
        <f t="shared" si="5"/>
        <v>0.09</v>
      </c>
      <c r="G60" s="813">
        <f t="shared" si="5"/>
        <v>0.11</v>
      </c>
      <c r="H60" s="813">
        <f t="shared" si="5"/>
        <v>0.13</v>
      </c>
      <c r="I60" s="724">
        <v>0.15</v>
      </c>
      <c r="K60" s="744" t="s">
        <v>476</v>
      </c>
      <c r="L60" s="745">
        <f>L55/L$53</f>
        <v>2.2539987204094687</v>
      </c>
      <c r="M60" s="744" t="s">
        <v>476</v>
      </c>
      <c r="N60" s="745">
        <f>N55/N$53</f>
        <v>2.1009946442234124</v>
      </c>
      <c r="O60" s="744" t="s">
        <v>476</v>
      </c>
      <c r="P60" s="761">
        <f>P55/P$53</f>
        <v>2.4836795252225516</v>
      </c>
      <c r="Q60" s="744" t="s">
        <v>476</v>
      </c>
      <c r="R60" s="745">
        <f>R55/R$53</f>
        <v>2.5480943738656987</v>
      </c>
      <c r="S60" s="744" t="s">
        <v>476</v>
      </c>
      <c r="T60" s="745">
        <f>T55/T$53</f>
        <v>2.6784630940343779</v>
      </c>
    </row>
    <row r="61" spans="1:29" ht="15" customHeight="1" x14ac:dyDescent="0.2">
      <c r="B61" s="822">
        <v>3</v>
      </c>
      <c r="C61" s="814">
        <f t="shared" si="6"/>
        <v>3.9E-2</v>
      </c>
      <c r="D61" s="814">
        <f t="shared" si="5"/>
        <v>5.7499999999999996E-2</v>
      </c>
      <c r="E61" s="814">
        <f t="shared" si="5"/>
        <v>7.5999999999999998E-2</v>
      </c>
      <c r="F61" s="814">
        <f t="shared" si="5"/>
        <v>9.4500000000000001E-2</v>
      </c>
      <c r="G61" s="814">
        <f t="shared" si="5"/>
        <v>0.11299999999999999</v>
      </c>
      <c r="H61" s="814">
        <f t="shared" si="5"/>
        <v>0.13150000000000001</v>
      </c>
      <c r="I61" s="722">
        <v>0.15</v>
      </c>
      <c r="K61" s="744" t="s">
        <v>477</v>
      </c>
      <c r="L61" s="745">
        <f>L56/L$53</f>
        <v>2.7965451055662189</v>
      </c>
      <c r="M61" s="744" t="s">
        <v>477</v>
      </c>
      <c r="N61" s="745">
        <f>N56/N$53</f>
        <v>2.553685284366233</v>
      </c>
      <c r="O61" s="744" t="s">
        <v>477</v>
      </c>
      <c r="P61" s="745">
        <f>P56/P$53</f>
        <v>3.0712166172106823</v>
      </c>
      <c r="Q61" s="744" t="s">
        <v>477</v>
      </c>
      <c r="R61" s="745">
        <f>R56/R$53</f>
        <v>3.2018148820326675</v>
      </c>
      <c r="S61" s="744" t="s">
        <v>477</v>
      </c>
      <c r="T61" s="745">
        <f>T56/T$53</f>
        <v>3.2497472194135488</v>
      </c>
    </row>
    <row r="62" spans="1:29" ht="15" customHeight="1" x14ac:dyDescent="0.2">
      <c r="B62" s="822">
        <v>4</v>
      </c>
      <c r="C62" s="814">
        <f t="shared" si="6"/>
        <v>4.8499999999999995E-2</v>
      </c>
      <c r="D62" s="814">
        <f t="shared" si="5"/>
        <v>6.5416666666666665E-2</v>
      </c>
      <c r="E62" s="814">
        <f t="shared" si="5"/>
        <v>8.2333333333333328E-2</v>
      </c>
      <c r="F62" s="814">
        <f t="shared" si="5"/>
        <v>9.9250000000000005E-2</v>
      </c>
      <c r="G62" s="814">
        <f t="shared" si="5"/>
        <v>0.11616666666666667</v>
      </c>
      <c r="H62" s="814">
        <f t="shared" si="5"/>
        <v>0.13308333333333333</v>
      </c>
      <c r="I62" s="722">
        <v>0.15</v>
      </c>
      <c r="K62" s="759" t="s">
        <v>478</v>
      </c>
      <c r="L62" s="760">
        <f>L57/L$53</f>
        <v>3.2539987204094687</v>
      </c>
      <c r="M62" s="759" t="s">
        <v>478</v>
      </c>
      <c r="N62" s="760">
        <f>N57/N$53</f>
        <v>2.8982402448355011</v>
      </c>
      <c r="O62" s="759" t="s">
        <v>478</v>
      </c>
      <c r="P62" s="760">
        <f>P57/P$53</f>
        <v>3.4979228486646878</v>
      </c>
      <c r="Q62" s="759" t="s">
        <v>478</v>
      </c>
      <c r="R62" s="760">
        <f>R57/R$53</f>
        <v>3.798185117967332</v>
      </c>
      <c r="S62" s="759" t="s">
        <v>478</v>
      </c>
      <c r="T62" s="760">
        <f>T57/T$53</f>
        <v>3.8213683855746541</v>
      </c>
    </row>
    <row r="63" spans="1:29" ht="15" customHeight="1" x14ac:dyDescent="0.2">
      <c r="B63" s="822">
        <v>5</v>
      </c>
      <c r="C63" s="876">
        <f t="shared" si="6"/>
        <v>5.7999999999999996E-2</v>
      </c>
      <c r="D63" s="876">
        <f t="shared" si="5"/>
        <v>7.3333333333333334E-2</v>
      </c>
      <c r="E63" s="876">
        <f t="shared" si="5"/>
        <v>8.8666666666666658E-2</v>
      </c>
      <c r="F63" s="876">
        <f t="shared" si="5"/>
        <v>0.104</v>
      </c>
      <c r="G63" s="876">
        <f t="shared" si="5"/>
        <v>0.11933333333333332</v>
      </c>
      <c r="H63" s="876">
        <f t="shared" si="5"/>
        <v>0.13466666666666666</v>
      </c>
      <c r="I63" s="875">
        <v>0.15</v>
      </c>
      <c r="K63" s="752" t="s">
        <v>482</v>
      </c>
      <c r="L63" s="753">
        <f>L55/L$54</f>
        <v>1.3234410217881292</v>
      </c>
      <c r="M63" s="752" t="s">
        <v>482</v>
      </c>
      <c r="N63" s="753">
        <f>N55/N$54</f>
        <v>1.3122013380057342</v>
      </c>
      <c r="O63" s="752" t="s">
        <v>482</v>
      </c>
      <c r="P63" s="753">
        <f>P55/P$54</f>
        <v>1.3502177770608164</v>
      </c>
      <c r="Q63" s="752" t="s">
        <v>482</v>
      </c>
      <c r="R63" s="753">
        <f>R55/R$54</f>
        <v>1.3802595359811247</v>
      </c>
      <c r="S63" s="752" t="s">
        <v>482</v>
      </c>
      <c r="T63" s="753">
        <f>T55/T$54</f>
        <v>1.3825678496868476</v>
      </c>
    </row>
    <row r="64" spans="1:29" ht="15" customHeight="1" x14ac:dyDescent="0.2">
      <c r="B64" s="822">
        <v>10</v>
      </c>
      <c r="C64" s="813">
        <f t="shared" si="6"/>
        <v>0.10400000000000001</v>
      </c>
      <c r="D64" s="813">
        <f t="shared" si="5"/>
        <v>0.11166666666666668</v>
      </c>
      <c r="E64" s="813">
        <f t="shared" si="5"/>
        <v>0.11933333333333333</v>
      </c>
      <c r="F64" s="813">
        <f t="shared" si="5"/>
        <v>0.127</v>
      </c>
      <c r="G64" s="813">
        <f t="shared" si="5"/>
        <v>0.13466666666666666</v>
      </c>
      <c r="H64" s="813">
        <f t="shared" si="5"/>
        <v>0.14233333333333334</v>
      </c>
      <c r="I64" s="724">
        <v>0.15</v>
      </c>
      <c r="K64" s="748" t="s">
        <v>483</v>
      </c>
      <c r="L64" s="745">
        <f>L56/L$54</f>
        <v>1.6419984973703983</v>
      </c>
      <c r="M64" s="748" t="s">
        <v>483</v>
      </c>
      <c r="N64" s="745">
        <f>N56/N$54</f>
        <v>1.5949346925772538</v>
      </c>
      <c r="O64" s="748" t="s">
        <v>483</v>
      </c>
      <c r="P64" s="745">
        <f>P56/P$54</f>
        <v>1.6696241329246653</v>
      </c>
      <c r="Q64" s="748" t="s">
        <v>483</v>
      </c>
      <c r="R64" s="745">
        <f>R56/R$54</f>
        <v>1.734368855682265</v>
      </c>
      <c r="S64" s="748" t="s">
        <v>483</v>
      </c>
      <c r="T64" s="745">
        <f>T56/T$54</f>
        <v>1.6774530271398749</v>
      </c>
    </row>
    <row r="65" spans="1:25" ht="15" customHeight="1" x14ac:dyDescent="0.2">
      <c r="B65" s="822">
        <v>20</v>
      </c>
      <c r="C65" s="814">
        <f t="shared" si="6"/>
        <v>0.15</v>
      </c>
      <c r="D65" s="528">
        <f t="shared" si="5"/>
        <v>0.15</v>
      </c>
      <c r="E65" s="528">
        <f t="shared" si="5"/>
        <v>0.15</v>
      </c>
      <c r="F65" s="528">
        <f t="shared" si="5"/>
        <v>0.15</v>
      </c>
      <c r="G65" s="528">
        <f t="shared" si="5"/>
        <v>0.15</v>
      </c>
      <c r="H65" s="528">
        <f t="shared" si="5"/>
        <v>0.15</v>
      </c>
      <c r="I65" s="722">
        <v>0.15</v>
      </c>
      <c r="K65" s="759" t="s">
        <v>481</v>
      </c>
      <c r="L65" s="760">
        <f>L57/L$54</f>
        <v>1.9105935386927122</v>
      </c>
      <c r="M65" s="759" t="s">
        <v>481</v>
      </c>
      <c r="N65" s="760">
        <f>N57/N$54</f>
        <v>1.8101306148454921</v>
      </c>
      <c r="O65" s="759" t="s">
        <v>481</v>
      </c>
      <c r="P65" s="760">
        <f>P57/P$54</f>
        <v>1.9015970317793192</v>
      </c>
      <c r="Q65" s="759" t="s">
        <v>481</v>
      </c>
      <c r="R65" s="760">
        <f>R57/R$54</f>
        <v>2.0574125049154541</v>
      </c>
      <c r="S65" s="759" t="s">
        <v>481</v>
      </c>
      <c r="T65" s="760">
        <f>T57/T$54</f>
        <v>1.9725121781489214</v>
      </c>
    </row>
    <row r="66" spans="1:25" ht="15" customHeight="1" x14ac:dyDescent="0.2">
      <c r="B66" s="822">
        <v>30</v>
      </c>
      <c r="C66" s="814">
        <f t="shared" si="6"/>
        <v>0.15</v>
      </c>
      <c r="D66" s="528">
        <f t="shared" si="5"/>
        <v>0.15</v>
      </c>
      <c r="E66" s="528">
        <f t="shared" si="5"/>
        <v>0.15</v>
      </c>
      <c r="F66" s="528">
        <f t="shared" si="5"/>
        <v>0.15</v>
      </c>
      <c r="G66" s="528">
        <f t="shared" si="5"/>
        <v>0.15</v>
      </c>
      <c r="H66" s="528">
        <f t="shared" si="5"/>
        <v>0.15</v>
      </c>
      <c r="I66" s="722">
        <v>0.15</v>
      </c>
      <c r="K66" s="752" t="s">
        <v>484</v>
      </c>
      <c r="L66" s="753">
        <f>L56/L$55</f>
        <v>1.2407039455009936</v>
      </c>
      <c r="M66" s="752" t="s">
        <v>484</v>
      </c>
      <c r="N66" s="753">
        <f>N56/N$55</f>
        <v>1.2154649186695801</v>
      </c>
      <c r="O66" s="752" t="s">
        <v>484</v>
      </c>
      <c r="P66" s="753">
        <f>P56/P$55</f>
        <v>1.2365591397849462</v>
      </c>
      <c r="Q66" s="752" t="s">
        <v>484</v>
      </c>
      <c r="R66" s="753">
        <f>R56/R$55</f>
        <v>1.2565527065527065</v>
      </c>
      <c r="S66" s="752" t="s">
        <v>484</v>
      </c>
      <c r="T66" s="753">
        <f>T56/T$55</f>
        <v>1.2132880332200831</v>
      </c>
    </row>
    <row r="67" spans="1:25" ht="15" customHeight="1" x14ac:dyDescent="0.2">
      <c r="B67" s="822">
        <v>40</v>
      </c>
      <c r="C67" s="814">
        <f t="shared" si="6"/>
        <v>0.15</v>
      </c>
      <c r="D67" s="528">
        <f t="shared" si="5"/>
        <v>0.15</v>
      </c>
      <c r="E67" s="528">
        <f t="shared" si="5"/>
        <v>0.15</v>
      </c>
      <c r="F67" s="528">
        <f t="shared" si="5"/>
        <v>0.15</v>
      </c>
      <c r="G67" s="528">
        <f t="shared" si="5"/>
        <v>0.15</v>
      </c>
      <c r="H67" s="528">
        <f t="shared" si="5"/>
        <v>0.15</v>
      </c>
      <c r="I67" s="722">
        <v>0.15</v>
      </c>
      <c r="K67" s="749" t="s">
        <v>485</v>
      </c>
      <c r="L67" s="746">
        <f>L57/L$55</f>
        <v>1.4436559750212887</v>
      </c>
      <c r="M67" s="749" t="s">
        <v>485</v>
      </c>
      <c r="N67" s="746">
        <f>N57/N$55</f>
        <v>1.3794610342316096</v>
      </c>
      <c r="O67" s="749" t="s">
        <v>485</v>
      </c>
      <c r="P67" s="746">
        <f>P57/P$55</f>
        <v>1.4083632019115888</v>
      </c>
      <c r="Q67" s="749" t="s">
        <v>485</v>
      </c>
      <c r="R67" s="746">
        <f>R57/R$55</f>
        <v>1.4905982905982906</v>
      </c>
      <c r="S67" s="749" t="s">
        <v>485</v>
      </c>
      <c r="T67" s="746">
        <f>T57/T$55</f>
        <v>1.4267019000880836</v>
      </c>
    </row>
    <row r="68" spans="1:25" ht="15" customHeight="1" x14ac:dyDescent="0.2">
      <c r="B68" s="823">
        <v>50</v>
      </c>
      <c r="C68" s="877">
        <f t="shared" si="6"/>
        <v>0.15</v>
      </c>
      <c r="D68" s="529">
        <f t="shared" si="5"/>
        <v>0.15</v>
      </c>
      <c r="E68" s="529">
        <f t="shared" si="5"/>
        <v>0.15</v>
      </c>
      <c r="F68" s="529">
        <f t="shared" si="5"/>
        <v>0.15</v>
      </c>
      <c r="G68" s="529">
        <f t="shared" si="5"/>
        <v>0.15</v>
      </c>
      <c r="H68" s="529">
        <f t="shared" si="5"/>
        <v>0.15</v>
      </c>
      <c r="I68" s="726">
        <v>0.15</v>
      </c>
      <c r="K68" s="749" t="s">
        <v>486</v>
      </c>
      <c r="L68" s="746">
        <f>L57/L$56</f>
        <v>1.1635781285746969</v>
      </c>
      <c r="M68" s="749" t="s">
        <v>486</v>
      </c>
      <c r="N68" s="746">
        <f>N57/N$56</f>
        <v>1.1349245980225706</v>
      </c>
      <c r="O68" s="749" t="s">
        <v>486</v>
      </c>
      <c r="P68" s="746">
        <f>P57/P$56</f>
        <v>1.1389371980676328</v>
      </c>
      <c r="Q68" s="749" t="s">
        <v>486</v>
      </c>
      <c r="R68" s="746">
        <f>R57/R$56</f>
        <v>1.1862600612175491</v>
      </c>
      <c r="S68" s="749" t="s">
        <v>486</v>
      </c>
      <c r="T68" s="746">
        <f>T57/T$56</f>
        <v>1.1758971167807508</v>
      </c>
    </row>
    <row r="69" spans="1:25" ht="15" customHeight="1" x14ac:dyDescent="0.2">
      <c r="A69" s="41"/>
      <c r="B69" s="66"/>
      <c r="C69" s="827"/>
      <c r="D69" s="828"/>
      <c r="E69" s="828"/>
      <c r="F69" s="828"/>
      <c r="G69" s="828"/>
      <c r="H69" s="828"/>
      <c r="I69" s="829"/>
      <c r="J69" s="41"/>
      <c r="K69" s="66"/>
      <c r="L69" s="751"/>
      <c r="M69" s="66"/>
      <c r="N69" s="751"/>
      <c r="O69" s="66"/>
      <c r="P69" s="751"/>
      <c r="Q69" s="66"/>
      <c r="R69" s="751"/>
      <c r="S69" s="66"/>
      <c r="T69" s="751"/>
    </row>
    <row r="70" spans="1:25" ht="15" customHeight="1" x14ac:dyDescent="0.2">
      <c r="A70" s="41"/>
      <c r="B70" s="822" t="s">
        <v>21</v>
      </c>
      <c r="C70" s="67"/>
      <c r="D70" s="868"/>
      <c r="E70" s="868"/>
      <c r="F70" s="868"/>
      <c r="G70" s="868"/>
      <c r="H70" s="868"/>
      <c r="I70" s="869"/>
      <c r="J70" s="41"/>
      <c r="K70" s="66"/>
      <c r="L70" s="751"/>
      <c r="M70" s="66"/>
      <c r="N70" s="751"/>
      <c r="O70" s="66"/>
      <c r="P70" s="751"/>
      <c r="Q70" s="66"/>
      <c r="R70" s="751"/>
      <c r="S70" s="66"/>
      <c r="T70" s="751"/>
    </row>
    <row r="71" spans="1:25" ht="15" customHeight="1" x14ac:dyDescent="0.2">
      <c r="A71" s="41"/>
      <c r="B71" s="822">
        <v>1</v>
      </c>
      <c r="C71" s="828">
        <f>C59*100</f>
        <v>2.1</v>
      </c>
      <c r="D71" s="828">
        <f t="shared" ref="D71:I71" si="7">D59*100</f>
        <v>4.25</v>
      </c>
      <c r="E71" s="828">
        <f t="shared" si="7"/>
        <v>6.4</v>
      </c>
      <c r="F71" s="828">
        <f t="shared" si="7"/>
        <v>8.5500000000000007</v>
      </c>
      <c r="G71" s="828">
        <f t="shared" si="7"/>
        <v>10.700000000000001</v>
      </c>
      <c r="H71" s="828">
        <f t="shared" si="7"/>
        <v>12.85</v>
      </c>
      <c r="I71" s="828">
        <f t="shared" si="7"/>
        <v>15</v>
      </c>
      <c r="J71" s="41"/>
      <c r="K71" s="66"/>
      <c r="L71" s="831"/>
      <c r="P71" s="66"/>
      <c r="Q71" s="751"/>
      <c r="R71" s="66"/>
      <c r="S71" s="751"/>
      <c r="T71" s="66"/>
      <c r="U71" s="751"/>
      <c r="V71" s="66"/>
      <c r="W71" s="751"/>
      <c r="X71" s="66"/>
      <c r="Y71" s="751"/>
    </row>
    <row r="72" spans="1:25" ht="15" customHeight="1" x14ac:dyDescent="0.2">
      <c r="A72" s="41"/>
      <c r="B72" s="822">
        <v>2</v>
      </c>
      <c r="C72" s="870">
        <f t="shared" ref="C72:I80" si="8">C60*100</f>
        <v>3</v>
      </c>
      <c r="D72" s="870">
        <f t="shared" si="8"/>
        <v>5</v>
      </c>
      <c r="E72" s="870">
        <f t="shared" si="8"/>
        <v>7.0000000000000009</v>
      </c>
      <c r="F72" s="870">
        <f t="shared" si="8"/>
        <v>9</v>
      </c>
      <c r="G72" s="870">
        <f t="shared" si="8"/>
        <v>11</v>
      </c>
      <c r="H72" s="870">
        <f t="shared" si="8"/>
        <v>13</v>
      </c>
      <c r="I72" s="870">
        <f t="shared" si="8"/>
        <v>15</v>
      </c>
      <c r="J72" s="41"/>
      <c r="K72" s="66"/>
      <c r="L72" s="831"/>
      <c r="P72" s="66"/>
      <c r="Q72" s="751"/>
      <c r="R72" s="66"/>
      <c r="S72" s="751"/>
      <c r="T72" s="66"/>
      <c r="U72" s="751"/>
      <c r="V72" s="66"/>
      <c r="W72" s="751"/>
      <c r="X72" s="66"/>
      <c r="Y72" s="751"/>
    </row>
    <row r="73" spans="1:25" ht="15" customHeight="1" x14ac:dyDescent="0.2">
      <c r="A73" s="41"/>
      <c r="B73" s="822">
        <v>3</v>
      </c>
      <c r="C73" s="828">
        <f t="shared" si="8"/>
        <v>3.9</v>
      </c>
      <c r="D73" s="828">
        <f t="shared" si="8"/>
        <v>5.75</v>
      </c>
      <c r="E73" s="828">
        <f t="shared" si="8"/>
        <v>7.6</v>
      </c>
      <c r="F73" s="828">
        <f t="shared" si="8"/>
        <v>9.4499999999999993</v>
      </c>
      <c r="G73" s="828">
        <f t="shared" si="8"/>
        <v>11.299999999999999</v>
      </c>
      <c r="H73" s="828">
        <f t="shared" si="8"/>
        <v>13.15</v>
      </c>
      <c r="I73" s="828">
        <f t="shared" si="8"/>
        <v>15</v>
      </c>
      <c r="J73" s="41"/>
      <c r="K73" s="66"/>
      <c r="L73" s="831"/>
      <c r="P73" s="66"/>
      <c r="Q73" s="751"/>
      <c r="R73" s="66"/>
      <c r="S73" s="751"/>
      <c r="T73" s="66"/>
      <c r="U73" s="751"/>
      <c r="V73" s="66"/>
      <c r="W73" s="751"/>
      <c r="X73" s="66"/>
      <c r="Y73" s="751"/>
    </row>
    <row r="74" spans="1:25" ht="15" customHeight="1" x14ac:dyDescent="0.2">
      <c r="A74" s="41"/>
      <c r="B74" s="822">
        <v>4</v>
      </c>
      <c r="C74" s="828">
        <f t="shared" si="8"/>
        <v>4.8499999999999996</v>
      </c>
      <c r="D74" s="828">
        <f t="shared" si="8"/>
        <v>6.5416666666666661</v>
      </c>
      <c r="E74" s="828">
        <f t="shared" si="8"/>
        <v>8.2333333333333325</v>
      </c>
      <c r="F74" s="828">
        <f t="shared" si="8"/>
        <v>9.9250000000000007</v>
      </c>
      <c r="G74" s="828">
        <f t="shared" si="8"/>
        <v>11.616666666666667</v>
      </c>
      <c r="H74" s="828">
        <f t="shared" si="8"/>
        <v>13.308333333333334</v>
      </c>
      <c r="I74" s="828">
        <f t="shared" si="8"/>
        <v>15</v>
      </c>
      <c r="J74" s="41"/>
      <c r="K74" s="66"/>
      <c r="L74" s="831"/>
      <c r="P74" s="66"/>
      <c r="Q74" s="751"/>
      <c r="R74" s="66"/>
      <c r="S74" s="751"/>
      <c r="T74" s="66"/>
      <c r="U74" s="751"/>
      <c r="V74" s="66"/>
      <c r="W74" s="751"/>
      <c r="X74" s="66"/>
      <c r="Y74" s="751"/>
    </row>
    <row r="75" spans="1:25" ht="15" customHeight="1" x14ac:dyDescent="0.2">
      <c r="A75" s="41"/>
      <c r="B75" s="822">
        <v>5</v>
      </c>
      <c r="C75" s="828">
        <f t="shared" si="8"/>
        <v>5.8</v>
      </c>
      <c r="D75" s="828">
        <f t="shared" si="8"/>
        <v>7.333333333333333</v>
      </c>
      <c r="E75" s="828">
        <f t="shared" si="8"/>
        <v>8.8666666666666654</v>
      </c>
      <c r="F75" s="828">
        <f t="shared" si="8"/>
        <v>10.4</v>
      </c>
      <c r="G75" s="828">
        <f t="shared" si="8"/>
        <v>11.933333333333332</v>
      </c>
      <c r="H75" s="828">
        <f t="shared" si="8"/>
        <v>13.466666666666665</v>
      </c>
      <c r="I75" s="828">
        <f t="shared" si="8"/>
        <v>15</v>
      </c>
      <c r="J75" s="41"/>
      <c r="K75" s="66"/>
      <c r="L75" s="831"/>
      <c r="P75" s="66"/>
      <c r="Q75" s="751"/>
      <c r="R75" s="66"/>
      <c r="S75" s="751"/>
      <c r="T75" s="66"/>
      <c r="U75" s="751"/>
      <c r="V75" s="66"/>
      <c r="W75" s="751"/>
      <c r="X75" s="66"/>
      <c r="Y75" s="751"/>
    </row>
    <row r="76" spans="1:25" ht="15" customHeight="1" x14ac:dyDescent="0.2">
      <c r="A76" s="41"/>
      <c r="B76" s="822">
        <v>10</v>
      </c>
      <c r="C76" s="870">
        <f t="shared" si="8"/>
        <v>10.4</v>
      </c>
      <c r="D76" s="870">
        <f t="shared" si="8"/>
        <v>11.166666666666668</v>
      </c>
      <c r="E76" s="870">
        <f t="shared" si="8"/>
        <v>11.933333333333334</v>
      </c>
      <c r="F76" s="870">
        <f t="shared" si="8"/>
        <v>12.7</v>
      </c>
      <c r="G76" s="870">
        <f t="shared" si="8"/>
        <v>13.466666666666665</v>
      </c>
      <c r="H76" s="870">
        <f t="shared" si="8"/>
        <v>14.233333333333334</v>
      </c>
      <c r="I76" s="870">
        <f t="shared" si="8"/>
        <v>15</v>
      </c>
      <c r="J76" s="41"/>
      <c r="K76" s="66"/>
      <c r="L76" s="831"/>
      <c r="P76" s="66"/>
      <c r="Q76" s="751"/>
      <c r="R76" s="66"/>
      <c r="S76" s="751"/>
      <c r="T76" s="66"/>
      <c r="U76" s="751"/>
      <c r="V76" s="66"/>
      <c r="W76" s="751"/>
      <c r="X76" s="66"/>
      <c r="Y76" s="751"/>
    </row>
    <row r="77" spans="1:25" ht="15" customHeight="1" x14ac:dyDescent="0.2">
      <c r="A77" s="41"/>
      <c r="B77" s="822">
        <v>20</v>
      </c>
      <c r="C77" s="828">
        <f t="shared" si="8"/>
        <v>15</v>
      </c>
      <c r="D77" s="828">
        <f t="shared" si="8"/>
        <v>15</v>
      </c>
      <c r="E77" s="828">
        <f t="shared" si="8"/>
        <v>15</v>
      </c>
      <c r="F77" s="828">
        <f t="shared" si="8"/>
        <v>15</v>
      </c>
      <c r="G77" s="828">
        <f t="shared" si="8"/>
        <v>15</v>
      </c>
      <c r="H77" s="828">
        <f t="shared" si="8"/>
        <v>15</v>
      </c>
      <c r="I77" s="828">
        <f t="shared" si="8"/>
        <v>15</v>
      </c>
      <c r="J77" s="41"/>
      <c r="K77" s="66"/>
      <c r="L77" s="831"/>
      <c r="P77" s="66"/>
      <c r="Q77" s="751"/>
      <c r="R77" s="66"/>
      <c r="S77" s="751"/>
      <c r="T77" s="66"/>
      <c r="U77" s="751"/>
      <c r="V77" s="66"/>
      <c r="W77" s="751"/>
      <c r="X77" s="66"/>
      <c r="Y77" s="751"/>
    </row>
    <row r="78" spans="1:25" ht="15" customHeight="1" x14ac:dyDescent="0.2">
      <c r="A78" s="41"/>
      <c r="B78" s="822">
        <v>30</v>
      </c>
      <c r="C78" s="828">
        <f t="shared" si="8"/>
        <v>15</v>
      </c>
      <c r="D78" s="828">
        <f t="shared" si="8"/>
        <v>15</v>
      </c>
      <c r="E78" s="828">
        <f t="shared" si="8"/>
        <v>15</v>
      </c>
      <c r="F78" s="828">
        <f t="shared" si="8"/>
        <v>15</v>
      </c>
      <c r="G78" s="828">
        <f t="shared" si="8"/>
        <v>15</v>
      </c>
      <c r="H78" s="828">
        <f t="shared" si="8"/>
        <v>15</v>
      </c>
      <c r="I78" s="828">
        <f t="shared" si="8"/>
        <v>15</v>
      </c>
      <c r="J78" s="41"/>
      <c r="K78" s="66"/>
      <c r="L78" s="831"/>
      <c r="P78" s="66"/>
      <c r="Q78" s="751"/>
      <c r="R78" s="66"/>
      <c r="S78" s="751"/>
      <c r="T78" s="66"/>
      <c r="U78" s="751"/>
      <c r="V78" s="66"/>
      <c r="W78" s="751"/>
      <c r="X78" s="66"/>
      <c r="Y78" s="751"/>
    </row>
    <row r="79" spans="1:25" ht="15" customHeight="1" x14ac:dyDescent="0.2">
      <c r="A79" s="41"/>
      <c r="B79" s="822">
        <v>40</v>
      </c>
      <c r="C79" s="828">
        <f t="shared" si="8"/>
        <v>15</v>
      </c>
      <c r="D79" s="828">
        <f t="shared" si="8"/>
        <v>15</v>
      </c>
      <c r="E79" s="828">
        <f t="shared" si="8"/>
        <v>15</v>
      </c>
      <c r="F79" s="828">
        <f t="shared" si="8"/>
        <v>15</v>
      </c>
      <c r="G79" s="828">
        <f t="shared" si="8"/>
        <v>15</v>
      </c>
      <c r="H79" s="828">
        <f t="shared" si="8"/>
        <v>15</v>
      </c>
      <c r="I79" s="828">
        <f t="shared" si="8"/>
        <v>15</v>
      </c>
      <c r="J79" s="41"/>
      <c r="K79" s="66"/>
      <c r="L79" s="831"/>
      <c r="P79" s="66"/>
      <c r="Q79" s="751"/>
      <c r="R79" s="66"/>
      <c r="S79" s="751"/>
      <c r="T79" s="66"/>
      <c r="U79" s="751"/>
      <c r="V79" s="66"/>
      <c r="W79" s="751"/>
      <c r="X79" s="66"/>
      <c r="Y79" s="751"/>
    </row>
    <row r="80" spans="1:25" ht="15" customHeight="1" x14ac:dyDescent="0.2">
      <c r="A80" s="41"/>
      <c r="B80" s="823">
        <v>50</v>
      </c>
      <c r="C80" s="870">
        <f t="shared" si="8"/>
        <v>15</v>
      </c>
      <c r="D80" s="870">
        <f t="shared" si="8"/>
        <v>15</v>
      </c>
      <c r="E80" s="870">
        <f t="shared" si="8"/>
        <v>15</v>
      </c>
      <c r="F80" s="870">
        <f t="shared" si="8"/>
        <v>15</v>
      </c>
      <c r="G80" s="870">
        <f t="shared" si="8"/>
        <v>15</v>
      </c>
      <c r="H80" s="870">
        <f t="shared" si="8"/>
        <v>15</v>
      </c>
      <c r="I80" s="870">
        <f t="shared" si="8"/>
        <v>15</v>
      </c>
      <c r="J80" s="41"/>
      <c r="K80" s="66"/>
      <c r="L80" s="831"/>
      <c r="P80" s="66"/>
      <c r="Q80" s="751"/>
      <c r="R80" s="66"/>
      <c r="S80" s="751"/>
      <c r="T80" s="66"/>
      <c r="U80" s="751"/>
      <c r="V80" s="66"/>
      <c r="W80" s="751"/>
      <c r="X80" s="66"/>
      <c r="Y80" s="751"/>
    </row>
    <row r="81" spans="1:25" ht="15" customHeight="1" x14ac:dyDescent="0.2">
      <c r="A81" s="41"/>
      <c r="B81" s="41"/>
      <c r="C81" s="827"/>
      <c r="D81" s="828"/>
      <c r="E81" s="828"/>
      <c r="F81" s="828"/>
      <c r="G81" s="828"/>
      <c r="H81" s="828"/>
      <c r="I81" s="829"/>
      <c r="J81" s="41"/>
      <c r="K81" s="66"/>
      <c r="L81" s="831"/>
      <c r="P81" s="66"/>
      <c r="Q81" s="751"/>
      <c r="R81" s="66"/>
      <c r="S81" s="751"/>
      <c r="T81" s="66"/>
      <c r="U81" s="751"/>
      <c r="V81" s="66"/>
      <c r="W81" s="751"/>
      <c r="X81" s="66"/>
      <c r="Y81" s="751"/>
    </row>
    <row r="82" spans="1:25" ht="15" customHeight="1" x14ac:dyDescent="0.2">
      <c r="A82" s="41"/>
      <c r="B82" s="66"/>
      <c r="C82" s="827"/>
      <c r="D82" s="828"/>
      <c r="E82" s="828"/>
      <c r="F82" s="828"/>
      <c r="G82" s="828"/>
      <c r="H82" s="828"/>
      <c r="I82" s="829"/>
      <c r="J82" s="41"/>
      <c r="K82" s="66"/>
      <c r="L82" s="831"/>
      <c r="P82" s="66"/>
      <c r="Q82" s="751"/>
      <c r="R82" s="66"/>
      <c r="S82" s="751"/>
      <c r="T82" s="66"/>
      <c r="U82" s="751"/>
      <c r="V82" s="66"/>
      <c r="W82" s="751"/>
      <c r="X82" s="66"/>
      <c r="Y82" s="751"/>
    </row>
    <row r="83" spans="1:25" ht="15" customHeight="1" x14ac:dyDescent="0.2">
      <c r="A83" s="41"/>
      <c r="B83" s="66"/>
      <c r="C83" s="827"/>
      <c r="D83" s="828"/>
      <c r="E83" s="828"/>
      <c r="F83" s="828"/>
      <c r="G83" s="828"/>
      <c r="H83" s="828"/>
      <c r="I83" s="829"/>
      <c r="J83" s="41"/>
      <c r="K83" s="66"/>
      <c r="L83" s="831"/>
      <c r="P83" s="66"/>
      <c r="Q83" s="751"/>
      <c r="R83" s="66"/>
      <c r="S83" s="751"/>
      <c r="T83" s="66"/>
      <c r="U83" s="751"/>
      <c r="V83" s="66"/>
      <c r="W83" s="751"/>
      <c r="X83" s="66"/>
      <c r="Y83" s="751"/>
    </row>
    <row r="84" spans="1:25" ht="15" customHeight="1" x14ac:dyDescent="0.2">
      <c r="A84" s="41"/>
      <c r="B84" s="66"/>
      <c r="C84" s="827"/>
      <c r="D84" s="828"/>
      <c r="E84" s="828"/>
      <c r="F84" s="828"/>
      <c r="G84" s="828"/>
      <c r="H84" s="828"/>
      <c r="I84" s="829"/>
      <c r="J84" s="41"/>
      <c r="K84" s="66"/>
      <c r="L84" s="831"/>
      <c r="P84" s="66"/>
      <c r="Q84" s="751"/>
      <c r="R84" s="66"/>
      <c r="S84" s="751"/>
      <c r="T84" s="66"/>
      <c r="U84" s="751"/>
      <c r="V84" s="66"/>
      <c r="W84" s="751"/>
      <c r="X84" s="66"/>
      <c r="Y84" s="751"/>
    </row>
    <row r="85" spans="1:25" ht="15" customHeight="1" x14ac:dyDescent="0.2">
      <c r="A85" s="41"/>
      <c r="B85" s="66"/>
      <c r="C85" s="827"/>
      <c r="D85" s="828"/>
      <c r="E85" s="828"/>
      <c r="F85" s="828"/>
      <c r="G85" s="828"/>
      <c r="H85" s="828"/>
      <c r="I85" s="829"/>
      <c r="J85" s="41"/>
      <c r="K85" s="66"/>
      <c r="L85" s="831"/>
      <c r="P85" s="66"/>
      <c r="Q85" s="751"/>
      <c r="R85" s="66"/>
      <c r="S85" s="751"/>
      <c r="T85" s="66"/>
      <c r="U85" s="751"/>
      <c r="V85" s="66"/>
      <c r="W85" s="751"/>
      <c r="X85" s="66"/>
      <c r="Y85" s="751"/>
    </row>
    <row r="86" spans="1:25" ht="15" customHeight="1" x14ac:dyDescent="0.2">
      <c r="A86" s="41"/>
      <c r="B86" s="66"/>
      <c r="C86" s="827"/>
      <c r="D86" s="828"/>
      <c r="E86" s="828"/>
      <c r="F86" s="828"/>
      <c r="G86" s="828"/>
      <c r="H86" s="828"/>
      <c r="I86" s="829"/>
      <c r="J86" s="41"/>
      <c r="K86" s="66"/>
      <c r="L86" s="831"/>
      <c r="P86" s="66"/>
      <c r="Q86" s="751"/>
      <c r="R86" s="66"/>
      <c r="S86" s="751"/>
      <c r="T86" s="66"/>
      <c r="U86" s="751"/>
      <c r="V86" s="66"/>
      <c r="W86" s="751"/>
      <c r="X86" s="66"/>
      <c r="Y86" s="751"/>
    </row>
    <row r="87" spans="1:25" ht="15" customHeight="1" x14ac:dyDescent="0.2">
      <c r="A87" s="41"/>
      <c r="B87" s="66"/>
      <c r="C87" s="827"/>
      <c r="D87" s="828"/>
      <c r="E87" s="828"/>
      <c r="F87" s="828"/>
      <c r="G87" s="828"/>
      <c r="H87" s="828"/>
      <c r="I87" s="829"/>
      <c r="J87" s="41"/>
      <c r="K87" s="66"/>
      <c r="L87" s="831"/>
      <c r="P87" s="66"/>
      <c r="Q87" s="751"/>
      <c r="R87" s="66"/>
      <c r="S87" s="751"/>
      <c r="T87" s="66"/>
      <c r="U87" s="751"/>
      <c r="V87" s="66"/>
      <c r="W87" s="751"/>
      <c r="X87" s="66"/>
      <c r="Y87" s="751"/>
    </row>
    <row r="88" spans="1:25" ht="15" customHeight="1" x14ac:dyDescent="0.2">
      <c r="A88" s="41"/>
      <c r="B88" s="66"/>
      <c r="C88" s="827"/>
      <c r="D88" s="828"/>
      <c r="E88" s="828"/>
      <c r="F88" s="828"/>
      <c r="G88" s="828"/>
      <c r="H88" s="828"/>
      <c r="I88" s="829"/>
      <c r="J88" s="41"/>
      <c r="K88" s="66"/>
      <c r="L88" s="831"/>
      <c r="P88" s="66"/>
      <c r="Q88" s="751"/>
      <c r="R88" s="66"/>
      <c r="S88" s="751"/>
      <c r="T88" s="66"/>
      <c r="U88" s="751"/>
      <c r="V88" s="66"/>
      <c r="W88" s="751"/>
      <c r="X88" s="66"/>
      <c r="Y88" s="751"/>
    </row>
    <row r="89" spans="1:25" ht="15" customHeight="1" x14ac:dyDescent="0.2">
      <c r="A89" s="41"/>
      <c r="B89" s="66"/>
      <c r="C89" s="827"/>
      <c r="D89" s="828"/>
      <c r="E89" s="828"/>
      <c r="F89" s="828"/>
      <c r="G89" s="828"/>
      <c r="H89" s="828"/>
      <c r="I89" s="829"/>
      <c r="J89" s="41"/>
      <c r="K89" s="66"/>
      <c r="L89" s="831"/>
      <c r="P89" s="66"/>
      <c r="Q89" s="751"/>
      <c r="R89" s="66"/>
      <c r="S89" s="751"/>
      <c r="T89" s="66"/>
      <c r="U89" s="751"/>
      <c r="V89" s="66"/>
      <c r="W89" s="751"/>
      <c r="X89" s="66"/>
      <c r="Y89" s="751"/>
    </row>
    <row r="90" spans="1:25" ht="15" customHeight="1" x14ac:dyDescent="0.2">
      <c r="A90" s="41"/>
      <c r="B90" s="66"/>
      <c r="C90" s="827"/>
      <c r="D90" s="828"/>
      <c r="E90" s="828"/>
      <c r="F90" s="828"/>
      <c r="G90" s="828"/>
      <c r="H90" s="828"/>
      <c r="I90" s="829"/>
      <c r="J90" s="41"/>
      <c r="K90" s="66"/>
      <c r="L90" s="831"/>
      <c r="P90" s="66"/>
      <c r="Q90" s="751"/>
      <c r="R90" s="66"/>
      <c r="S90" s="751"/>
      <c r="T90" s="66"/>
      <c r="U90" s="751"/>
      <c r="V90" s="66"/>
      <c r="W90" s="751"/>
      <c r="X90" s="66"/>
      <c r="Y90" s="751"/>
    </row>
    <row r="91" spans="1:25" ht="15" customHeight="1" x14ac:dyDescent="0.2">
      <c r="A91" s="41"/>
      <c r="B91" s="66"/>
      <c r="C91" s="827"/>
      <c r="D91" s="828"/>
      <c r="E91" s="828"/>
      <c r="F91" s="828"/>
      <c r="G91" s="828"/>
      <c r="H91" s="828"/>
      <c r="I91" s="829"/>
      <c r="J91" s="41"/>
      <c r="K91" s="66"/>
      <c r="L91" s="831"/>
      <c r="P91" s="66"/>
      <c r="Q91" s="751"/>
      <c r="R91" s="66"/>
      <c r="S91" s="751"/>
      <c r="T91" s="66"/>
      <c r="U91" s="751"/>
      <c r="V91" s="66"/>
      <c r="W91" s="751"/>
      <c r="X91" s="66"/>
      <c r="Y91" s="751"/>
    </row>
    <row r="92" spans="1:25" ht="15" customHeight="1" x14ac:dyDescent="0.2">
      <c r="A92" s="41"/>
      <c r="B92" s="66"/>
      <c r="C92" s="827"/>
      <c r="D92" s="828"/>
      <c r="E92" s="828"/>
      <c r="F92" s="828"/>
      <c r="G92" s="828"/>
      <c r="H92" s="828"/>
      <c r="I92" s="829"/>
      <c r="J92" s="41"/>
      <c r="K92" s="66"/>
      <c r="L92" s="831"/>
      <c r="P92" s="66"/>
      <c r="Q92" s="751"/>
      <c r="R92" s="66"/>
      <c r="S92" s="751"/>
      <c r="T92" s="66"/>
      <c r="U92" s="751"/>
      <c r="V92" s="66"/>
      <c r="W92" s="751"/>
      <c r="X92" s="66"/>
      <c r="Y92" s="751"/>
    </row>
    <row r="93" spans="1:25" ht="15" customHeight="1" x14ac:dyDescent="0.2">
      <c r="A93" s="41"/>
      <c r="B93" s="66"/>
      <c r="C93" s="827"/>
      <c r="D93" s="828"/>
      <c r="E93" s="828"/>
      <c r="F93" s="828"/>
      <c r="G93" s="828"/>
      <c r="H93" s="828"/>
      <c r="I93" s="829"/>
      <c r="J93" s="41"/>
      <c r="K93" s="66"/>
      <c r="L93" s="831"/>
      <c r="P93" s="66"/>
      <c r="Q93" s="751"/>
      <c r="R93" s="66"/>
      <c r="S93" s="751"/>
      <c r="T93" s="66"/>
      <c r="U93" s="751"/>
      <c r="V93" s="66"/>
      <c r="W93" s="751"/>
      <c r="X93" s="66"/>
      <c r="Y93" s="751"/>
    </row>
    <row r="94" spans="1:25" ht="15" customHeight="1" x14ac:dyDescent="0.2">
      <c r="A94" s="41"/>
      <c r="B94" s="66"/>
      <c r="C94" s="827"/>
      <c r="D94" s="828"/>
      <c r="E94" s="828"/>
      <c r="F94" s="828"/>
      <c r="G94" s="828"/>
      <c r="H94" s="828"/>
      <c r="I94" s="829"/>
      <c r="J94" s="41"/>
      <c r="K94" s="66"/>
      <c r="L94" s="831"/>
      <c r="P94" s="66"/>
      <c r="Q94" s="751"/>
      <c r="R94" s="66"/>
      <c r="S94" s="751"/>
      <c r="T94" s="66"/>
      <c r="U94" s="751"/>
      <c r="V94" s="66"/>
      <c r="W94" s="751"/>
      <c r="X94" s="66"/>
      <c r="Y94" s="751"/>
    </row>
    <row r="95" spans="1:25" ht="15" customHeight="1" x14ac:dyDescent="0.2">
      <c r="A95" s="41"/>
      <c r="B95" s="66"/>
      <c r="C95" s="827"/>
      <c r="D95" s="828"/>
      <c r="E95" s="828"/>
      <c r="F95" s="828"/>
      <c r="G95" s="828"/>
      <c r="H95" s="828"/>
      <c r="I95" s="829"/>
      <c r="J95" s="41"/>
      <c r="K95" s="66"/>
      <c r="L95" s="831"/>
    </row>
    <row r="96" spans="1:25" ht="15" customHeight="1" x14ac:dyDescent="0.2">
      <c r="B96" s="66"/>
      <c r="C96" s="827"/>
      <c r="D96" s="828"/>
      <c r="E96" s="828"/>
      <c r="F96" s="828"/>
      <c r="G96" s="828"/>
      <c r="H96" s="828"/>
      <c r="I96" s="829"/>
      <c r="K96" s="2"/>
      <c r="L96" s="750"/>
    </row>
    <row r="97" spans="1:12" ht="15" customHeight="1" x14ac:dyDescent="0.2">
      <c r="B97" s="721"/>
      <c r="C97" s="719"/>
      <c r="D97" s="719"/>
      <c r="E97" s="720"/>
      <c r="K97" s="1"/>
      <c r="L97" s="1"/>
    </row>
    <row r="98" spans="1:12" ht="15" customHeight="1" x14ac:dyDescent="0.2">
      <c r="B98" s="721"/>
      <c r="C98" s="719"/>
      <c r="D98" s="719"/>
      <c r="E98" s="720"/>
      <c r="K98" s="2"/>
      <c r="L98" s="751"/>
    </row>
    <row r="99" spans="1:12" ht="15" customHeight="1" x14ac:dyDescent="0.2">
      <c r="B99" t="s">
        <v>587</v>
      </c>
      <c r="K99" s="2"/>
      <c r="L99" s="751"/>
    </row>
    <row r="100" spans="1:12" ht="15" customHeight="1" x14ac:dyDescent="0.2">
      <c r="A100" s="64" t="s">
        <v>45</v>
      </c>
      <c r="B100" s="64" t="s">
        <v>685</v>
      </c>
      <c r="K100" s="2"/>
      <c r="L100" s="751"/>
    </row>
    <row r="101" spans="1:12" ht="15" customHeight="1" x14ac:dyDescent="0.2">
      <c r="B101" s="64" t="s">
        <v>608</v>
      </c>
      <c r="K101" s="2"/>
      <c r="L101" s="751"/>
    </row>
    <row r="102" spans="1:12" ht="15" customHeight="1" x14ac:dyDescent="0.2">
      <c r="B102" s="64" t="s">
        <v>609</v>
      </c>
      <c r="K102" s="66"/>
      <c r="L102" s="751"/>
    </row>
    <row r="103" spans="1:12" ht="15" customHeight="1" x14ac:dyDescent="0.2">
      <c r="B103" s="64" t="s">
        <v>488</v>
      </c>
    </row>
    <row r="104" spans="1:12" ht="15" customHeight="1" x14ac:dyDescent="0.2">
      <c r="B104" s="117" t="s">
        <v>125</v>
      </c>
      <c r="C104" s="743" t="s">
        <v>173</v>
      </c>
      <c r="D104" s="117"/>
    </row>
    <row r="105" spans="1:12" ht="15" customHeight="1" x14ac:dyDescent="0.2">
      <c r="B105" s="117" t="s">
        <v>34</v>
      </c>
      <c r="C105" s="117"/>
      <c r="D105" s="117" t="s">
        <v>34</v>
      </c>
    </row>
    <row r="106" spans="1:12" ht="15" customHeight="1" x14ac:dyDescent="0.2">
      <c r="B106" s="117" t="s">
        <v>42</v>
      </c>
      <c r="C106" s="117"/>
      <c r="D106" s="117" t="s">
        <v>42</v>
      </c>
    </row>
    <row r="107" spans="1:12" ht="15" customHeight="1" x14ac:dyDescent="0.2">
      <c r="A107" s="53"/>
      <c r="B107" s="117" t="s">
        <v>43</v>
      </c>
      <c r="C107" s="117" t="s">
        <v>21</v>
      </c>
      <c r="D107" s="117" t="s">
        <v>43</v>
      </c>
    </row>
    <row r="108" spans="1:12" ht="15" customHeight="1" x14ac:dyDescent="0.2">
      <c r="B108" s="422">
        <v>22.3</v>
      </c>
      <c r="C108" s="106">
        <v>1</v>
      </c>
      <c r="D108" s="109">
        <v>22.3</v>
      </c>
      <c r="E108" s="38"/>
    </row>
    <row r="109" spans="1:12" ht="15" customHeight="1" x14ac:dyDescent="0.2">
      <c r="B109" s="423">
        <v>44.8</v>
      </c>
      <c r="C109" s="106">
        <v>2</v>
      </c>
      <c r="D109" s="110">
        <v>44.8</v>
      </c>
      <c r="E109" s="605">
        <f>D109/D108</f>
        <v>2.0089686098654709</v>
      </c>
    </row>
    <row r="110" spans="1:12" ht="15" customHeight="1" x14ac:dyDescent="0.2">
      <c r="B110" s="424">
        <v>62</v>
      </c>
      <c r="C110" s="106">
        <v>3</v>
      </c>
      <c r="D110" s="105">
        <v>62</v>
      </c>
      <c r="E110" s="605">
        <f t="shared" ref="E110:E112" si="9">D110/D109</f>
        <v>1.3839285714285716</v>
      </c>
    </row>
    <row r="111" spans="1:12" ht="15" customHeight="1" x14ac:dyDescent="0.2">
      <c r="B111" s="424">
        <v>75.5</v>
      </c>
      <c r="C111" s="106">
        <v>4</v>
      </c>
      <c r="D111" s="128">
        <v>77.5</v>
      </c>
      <c r="E111" s="605">
        <f t="shared" si="9"/>
        <v>1.25</v>
      </c>
    </row>
    <row r="112" spans="1:12" ht="15" customHeight="1" x14ac:dyDescent="0.2">
      <c r="B112" s="423">
        <v>91.1</v>
      </c>
      <c r="C112" s="106">
        <v>5</v>
      </c>
      <c r="D112" s="110">
        <v>91.1</v>
      </c>
      <c r="E112" s="605">
        <f t="shared" si="9"/>
        <v>1.1754838709677418</v>
      </c>
    </row>
    <row r="113" spans="1:8" ht="15" customHeight="1" x14ac:dyDescent="0.2">
      <c r="B113" s="424">
        <v>150.69999999999999</v>
      </c>
      <c r="C113" s="106">
        <v>10</v>
      </c>
      <c r="D113" s="105">
        <v>150.69999999999999</v>
      </c>
      <c r="E113" s="605">
        <f>(D113/D112)/5</f>
        <v>0.3308452250274424</v>
      </c>
    </row>
    <row r="114" spans="1:8" ht="15" customHeight="1" x14ac:dyDescent="0.2">
      <c r="B114" s="424">
        <v>252.2</v>
      </c>
      <c r="C114" s="106">
        <v>20</v>
      </c>
      <c r="D114" s="105">
        <v>252.2</v>
      </c>
      <c r="E114" s="605">
        <f>(D114/D113)/10</f>
        <v>0.16735235567352355</v>
      </c>
    </row>
    <row r="115" spans="1:8" ht="15" customHeight="1" x14ac:dyDescent="0.2">
      <c r="B115" s="424">
        <v>340.1</v>
      </c>
      <c r="C115" s="106">
        <v>30</v>
      </c>
      <c r="D115" s="105">
        <v>340.1</v>
      </c>
      <c r="E115" s="605">
        <f t="shared" ref="E115:E117" si="10">(D115/D114)/10</f>
        <v>0.13485329103885807</v>
      </c>
    </row>
    <row r="116" spans="1:8" ht="15" customHeight="1" x14ac:dyDescent="0.2">
      <c r="B116" s="424">
        <v>420.4</v>
      </c>
      <c r="C116" s="106">
        <v>40</v>
      </c>
      <c r="D116" s="105">
        <v>420.4</v>
      </c>
      <c r="E116" s="605">
        <f t="shared" si="10"/>
        <v>0.12361070273448985</v>
      </c>
    </row>
    <row r="117" spans="1:8" ht="15" customHeight="1" x14ac:dyDescent="0.2">
      <c r="B117" s="423">
        <v>498</v>
      </c>
      <c r="C117" s="106">
        <v>50</v>
      </c>
      <c r="D117" s="110">
        <v>498</v>
      </c>
      <c r="E117" s="605">
        <f t="shared" si="10"/>
        <v>0.11845861084681257</v>
      </c>
    </row>
    <row r="118" spans="1:8" ht="15" customHeight="1" x14ac:dyDescent="0.2"/>
    <row r="119" spans="1:8" ht="15" customHeight="1" x14ac:dyDescent="0.2">
      <c r="C119" s="315" t="s">
        <v>126</v>
      </c>
      <c r="H119" s="213"/>
    </row>
    <row r="120" spans="1:8" ht="15" customHeight="1" x14ac:dyDescent="0.2"/>
    <row r="121" spans="1:8" ht="15" customHeight="1" x14ac:dyDescent="0.2">
      <c r="B121" t="s">
        <v>587</v>
      </c>
    </row>
    <row r="122" spans="1:8" ht="15" customHeight="1" x14ac:dyDescent="0.2">
      <c r="A122" s="64" t="s">
        <v>48</v>
      </c>
      <c r="B122" s="64" t="s">
        <v>310</v>
      </c>
    </row>
    <row r="123" spans="1:8" ht="15" customHeight="1" x14ac:dyDescent="0.2">
      <c r="B123" s="64" t="s">
        <v>309</v>
      </c>
    </row>
    <row r="124" spans="1:8" ht="15" customHeight="1" x14ac:dyDescent="0.2">
      <c r="B124" s="90" t="s">
        <v>610</v>
      </c>
      <c r="H124" s="53"/>
    </row>
    <row r="125" spans="1:8" ht="15" customHeight="1" x14ac:dyDescent="0.2"/>
    <row r="126" spans="1:8" ht="15" customHeight="1" x14ac:dyDescent="0.2">
      <c r="E126" s="409">
        <f>INDEX(LINEST(D$134:D$138,($C$134:$C$138)^{1,2,3}),1)</f>
        <v>0.28333333333332744</v>
      </c>
      <c r="F126" s="408">
        <f>INDEX(LINEST(D$139:D$143,($C$139:$C$143)^{1,2,3}),1)</f>
        <v>9.0833333333334172E-4</v>
      </c>
      <c r="H126" t="s">
        <v>300</v>
      </c>
    </row>
    <row r="127" spans="1:8" ht="15" customHeight="1" x14ac:dyDescent="0.2">
      <c r="E127" s="409">
        <f>INDEX(LINEST(D$134:D$138,($C$134:$C$138)^{1,2,3}),2)</f>
        <v>-3.9428571428570822</v>
      </c>
      <c r="F127" s="408">
        <f>INDEX(LINEST(D$139:D$143,($C$139:$C$143)^{1,2,3}),2)</f>
        <v>-0.12132142857142943</v>
      </c>
      <c r="H127" t="s">
        <v>301</v>
      </c>
    </row>
    <row r="128" spans="1:8" ht="15" customHeight="1" x14ac:dyDescent="0.2">
      <c r="E128" s="409">
        <f>INDEX(LINEST(D$134:D$138,($C$134:$C$138)^{1,2,3}),3)</f>
        <v>32.073809523809345</v>
      </c>
      <c r="F128" s="408">
        <f>INDEX(LINEST(D$139:D$143,($C$139:$C$143)^{1,2,3}),3)</f>
        <v>13.145952380952403</v>
      </c>
    </row>
    <row r="129" spans="1:11" ht="15" customHeight="1" x14ac:dyDescent="0.2">
      <c r="E129" s="409">
        <f>INDEX(LINEST(D$134:D$138,($C$134:$C$138)^{1,2,3}),4)</f>
        <v>-6.0599999999998655</v>
      </c>
      <c r="F129" s="408">
        <f>INDEX(LINEST(D$139:D$143,($C$139:$C$143)^{1,2,3}),4)</f>
        <v>30.479999999999897</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22.3</v>
      </c>
      <c r="E134" s="114">
        <f>(E$126*($C134)^3)+(E$127*($C134)^2)+(E$128*($C134)^1)+(E$129)</f>
        <v>22.354285714285723</v>
      </c>
      <c r="F134" s="2"/>
      <c r="H134" s="106">
        <v>1</v>
      </c>
      <c r="I134" s="393">
        <f>E134</f>
        <v>22.354285714285723</v>
      </c>
      <c r="J134" s="109">
        <f>B108</f>
        <v>22.3</v>
      </c>
      <c r="K134" s="410">
        <f>I134-J134</f>
        <v>5.4285714285722264E-2</v>
      </c>
    </row>
    <row r="135" spans="1:11" ht="15" customHeight="1" x14ac:dyDescent="0.2">
      <c r="C135" s="106">
        <v>2</v>
      </c>
      <c r="D135" s="110">
        <f t="shared" ref="D135:D143" si="11">D109</f>
        <v>44.8</v>
      </c>
      <c r="E135" s="114">
        <f>(E$126*($C135)^3)+(E$127*($C135)^2)+(E$128*($C135)^1)+(E$129)</f>
        <v>44.582857142857115</v>
      </c>
      <c r="F135" s="2"/>
      <c r="H135" s="106">
        <v>2</v>
      </c>
      <c r="I135" s="393">
        <f t="shared" ref="I135:I138" si="12">E135</f>
        <v>44.582857142857115</v>
      </c>
      <c r="J135" s="110">
        <f t="shared" ref="J135:J143" si="13">B109</f>
        <v>44.8</v>
      </c>
      <c r="K135" s="411">
        <f t="shared" ref="K135:K143" si="14">I135-J135</f>
        <v>-0.21714285714288195</v>
      </c>
    </row>
    <row r="136" spans="1:11" ht="15" customHeight="1" x14ac:dyDescent="0.2">
      <c r="B136" s="28" t="s">
        <v>308</v>
      </c>
      <c r="C136" s="106">
        <v>3</v>
      </c>
      <c r="D136" s="105">
        <f t="shared" si="11"/>
        <v>62</v>
      </c>
      <c r="E136" s="114">
        <f t="shared" ref="E136:E138" si="15">(E$126*($C136)^3)+(E$127*($C136)^2)+(E$128*($C136)^1)+(E$129)</f>
        <v>62.325714285714263</v>
      </c>
      <c r="F136" s="2"/>
      <c r="H136" s="106">
        <v>3</v>
      </c>
      <c r="I136" s="393">
        <f t="shared" si="12"/>
        <v>62.325714285714263</v>
      </c>
      <c r="J136" s="105">
        <f t="shared" si="13"/>
        <v>62</v>
      </c>
      <c r="K136" s="412">
        <f t="shared" si="14"/>
        <v>0.32571428571426253</v>
      </c>
    </row>
    <row r="137" spans="1:11" ht="15" customHeight="1" x14ac:dyDescent="0.2">
      <c r="C137" s="106">
        <v>4</v>
      </c>
      <c r="D137" s="105">
        <f t="shared" si="11"/>
        <v>77.5</v>
      </c>
      <c r="E137" s="114">
        <f t="shared" si="15"/>
        <v>77.282857142857154</v>
      </c>
      <c r="F137" s="2"/>
      <c r="H137" s="106">
        <v>4</v>
      </c>
      <c r="I137" s="393">
        <f t="shared" si="12"/>
        <v>77.282857142857154</v>
      </c>
      <c r="J137" s="105">
        <f t="shared" si="13"/>
        <v>75.5</v>
      </c>
      <c r="K137" s="412">
        <f t="shared" si="14"/>
        <v>1.7828571428571536</v>
      </c>
    </row>
    <row r="138" spans="1:11" ht="15" customHeight="1" x14ac:dyDescent="0.2">
      <c r="C138" s="106">
        <v>5</v>
      </c>
      <c r="D138" s="110">
        <f t="shared" si="11"/>
        <v>91.1</v>
      </c>
      <c r="E138" s="114">
        <f t="shared" si="15"/>
        <v>91.154285714285763</v>
      </c>
      <c r="F138" s="2"/>
      <c r="H138" s="106">
        <v>5</v>
      </c>
      <c r="I138" s="393">
        <f t="shared" si="12"/>
        <v>91.154285714285763</v>
      </c>
      <c r="J138" s="110">
        <f t="shared" si="13"/>
        <v>91.1</v>
      </c>
      <c r="K138" s="411">
        <f t="shared" si="14"/>
        <v>5.4285714285768449E-2</v>
      </c>
    </row>
    <row r="139" spans="1:11" ht="15" customHeight="1" x14ac:dyDescent="0.2">
      <c r="C139" s="106">
        <v>10</v>
      </c>
      <c r="D139" s="105">
        <f t="shared" si="11"/>
        <v>150.69999999999999</v>
      </c>
      <c r="E139" s="416"/>
      <c r="F139" s="115">
        <f>(F$126*($C139)^3)+(F$127*($C139)^2)+(F$128*($C139)^1)+(F$129)</f>
        <v>150.71571428571431</v>
      </c>
      <c r="H139" s="106">
        <v>10</v>
      </c>
      <c r="I139" s="393">
        <f>F139</f>
        <v>150.71571428571431</v>
      </c>
      <c r="J139" s="105">
        <f t="shared" si="13"/>
        <v>150.69999999999999</v>
      </c>
      <c r="K139" s="412">
        <f t="shared" si="14"/>
        <v>1.5714285714324205E-2</v>
      </c>
    </row>
    <row r="140" spans="1:11" ht="15" customHeight="1" x14ac:dyDescent="0.2">
      <c r="C140" s="106">
        <v>20</v>
      </c>
      <c r="D140" s="105">
        <f t="shared" si="11"/>
        <v>252.2</v>
      </c>
      <c r="E140" s="2"/>
      <c r="F140" s="115">
        <f t="shared" ref="F140:F143" si="16">(F$126*($C140)^3)+(F$127*($C140)^2)+(F$128*($C140)^1)+(F$129)</f>
        <v>252.13714285714292</v>
      </c>
      <c r="H140" s="106">
        <v>20</v>
      </c>
      <c r="I140" s="393">
        <f t="shared" ref="I140:I143" si="17">F140</f>
        <v>252.13714285714292</v>
      </c>
      <c r="J140" s="105">
        <f t="shared" si="13"/>
        <v>252.2</v>
      </c>
      <c r="K140" s="412">
        <f t="shared" si="14"/>
        <v>-6.2857142857069448E-2</v>
      </c>
    </row>
    <row r="141" spans="1:11" ht="15" customHeight="1" x14ac:dyDescent="0.2">
      <c r="B141" s="28" t="s">
        <v>297</v>
      </c>
      <c r="C141" s="106">
        <v>30</v>
      </c>
      <c r="D141" s="105">
        <f t="shared" si="11"/>
        <v>340.1</v>
      </c>
      <c r="E141" s="2"/>
      <c r="F141" s="115">
        <f t="shared" si="16"/>
        <v>340.1942857142858</v>
      </c>
      <c r="H141" s="106">
        <v>30</v>
      </c>
      <c r="I141" s="393">
        <f t="shared" si="17"/>
        <v>340.1942857142858</v>
      </c>
      <c r="J141" s="105">
        <f t="shared" si="13"/>
        <v>340.1</v>
      </c>
      <c r="K141" s="412">
        <f t="shared" si="14"/>
        <v>9.4285714285774702E-2</v>
      </c>
    </row>
    <row r="142" spans="1:11" ht="15" customHeight="1" x14ac:dyDescent="0.2">
      <c r="C142" s="106">
        <v>40</v>
      </c>
      <c r="D142" s="105">
        <f t="shared" si="11"/>
        <v>420.4</v>
      </c>
      <c r="E142" s="2"/>
      <c r="F142" s="115">
        <f t="shared" si="16"/>
        <v>420.33714285714279</v>
      </c>
      <c r="H142" s="106">
        <v>40</v>
      </c>
      <c r="I142" s="393">
        <f t="shared" si="17"/>
        <v>420.33714285714279</v>
      </c>
      <c r="J142" s="105">
        <f t="shared" si="13"/>
        <v>420.4</v>
      </c>
      <c r="K142" s="412">
        <f t="shared" si="14"/>
        <v>-6.2857142857183135E-2</v>
      </c>
    </row>
    <row r="143" spans="1:11" ht="15" customHeight="1" x14ac:dyDescent="0.2">
      <c r="C143" s="106">
        <v>50</v>
      </c>
      <c r="D143" s="110">
        <f t="shared" si="11"/>
        <v>498</v>
      </c>
      <c r="E143" s="2"/>
      <c r="F143" s="115">
        <f t="shared" si="16"/>
        <v>498.01571428571424</v>
      </c>
      <c r="H143" s="106">
        <v>50</v>
      </c>
      <c r="I143" s="394">
        <f t="shared" si="17"/>
        <v>498.01571428571424</v>
      </c>
      <c r="J143" s="110">
        <f t="shared" si="13"/>
        <v>498</v>
      </c>
      <c r="K143" s="411">
        <f t="shared" si="14"/>
        <v>1.571428571423894E-2</v>
      </c>
    </row>
    <row r="144" spans="1:11" ht="15" customHeight="1" x14ac:dyDescent="0.2">
      <c r="I144" s="38"/>
    </row>
    <row r="145" spans="1:25" ht="15" customHeight="1" x14ac:dyDescent="0.2">
      <c r="D145" s="602">
        <f>D135/D134</f>
        <v>2.0089686098654709</v>
      </c>
      <c r="E145" s="603">
        <f>D138/D135</f>
        <v>2.0334821428571428</v>
      </c>
    </row>
    <row r="146" spans="1:25" ht="15" customHeight="1" x14ac:dyDescent="0.2"/>
    <row r="147" spans="1:25" ht="15" customHeight="1" x14ac:dyDescent="0.2">
      <c r="I147" s="38"/>
    </row>
    <row r="148" spans="1:25" ht="15" customHeight="1" x14ac:dyDescent="0.2">
      <c r="A148" s="64" t="s">
        <v>75</v>
      </c>
      <c r="B148" s="64" t="s">
        <v>73</v>
      </c>
    </row>
    <row r="149" spans="1:25" ht="15" customHeight="1" x14ac:dyDescent="0.2">
      <c r="A149" s="64"/>
      <c r="B149" s="64" t="s">
        <v>76</v>
      </c>
    </row>
    <row r="150" spans="1:25" ht="15" customHeight="1" x14ac:dyDescent="0.2">
      <c r="A150" s="64"/>
      <c r="B150" t="s">
        <v>587</v>
      </c>
      <c r="M150" t="s">
        <v>587</v>
      </c>
      <c r="O150" t="s">
        <v>625</v>
      </c>
      <c r="S150" t="s">
        <v>587</v>
      </c>
      <c r="U150" t="s">
        <v>624</v>
      </c>
    </row>
    <row r="151" spans="1:25" ht="15" customHeight="1" x14ac:dyDescent="0.2">
      <c r="A151" s="64"/>
      <c r="B151" s="56" t="s">
        <v>611</v>
      </c>
      <c r="M151" s="64" t="s">
        <v>580</v>
      </c>
    </row>
    <row r="152" spans="1:25" ht="15" customHeight="1" x14ac:dyDescent="0.2">
      <c r="I152" s="38"/>
      <c r="J152" s="764" t="s">
        <v>490</v>
      </c>
      <c r="K152" s="251"/>
      <c r="L152" s="765" t="s">
        <v>623</v>
      </c>
      <c r="U152" s="844" t="s">
        <v>579</v>
      </c>
    </row>
    <row r="153" spans="1:25" ht="15" customHeight="1" x14ac:dyDescent="0.2">
      <c r="E153" t="s">
        <v>612</v>
      </c>
      <c r="G153" s="368"/>
      <c r="H153" s="369" t="s">
        <v>35</v>
      </c>
      <c r="I153" s="38"/>
      <c r="J153" s="727"/>
      <c r="M153" t="s">
        <v>94</v>
      </c>
      <c r="U153" s="843" t="s">
        <v>578</v>
      </c>
    </row>
    <row r="154" spans="1:25"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5" ht="15" customHeight="1" x14ac:dyDescent="0.2">
      <c r="B155" s="133"/>
      <c r="C155" s="117" t="s">
        <v>32</v>
      </c>
      <c r="D155" s="392" t="s">
        <v>33</v>
      </c>
      <c r="E155" s="392" t="s">
        <v>35</v>
      </c>
      <c r="F155" s="521" t="s">
        <v>577</v>
      </c>
      <c r="G155" s="370" t="s">
        <v>35</v>
      </c>
      <c r="H155" s="371" t="s">
        <v>286</v>
      </c>
      <c r="J155" s="483" t="str">
        <f>C57</f>
        <v xml:space="preserve"> 1-6-15</v>
      </c>
      <c r="K155" s="148" t="s">
        <v>77</v>
      </c>
      <c r="M155" s="102" t="s">
        <v>52</v>
      </c>
      <c r="N155" s="514" t="s">
        <v>382</v>
      </c>
      <c r="U155" s="521" t="s">
        <v>577</v>
      </c>
    </row>
    <row r="156" spans="1:25"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5" ht="15" customHeight="1" x14ac:dyDescent="0.2">
      <c r="A157" s="118">
        <v>0.9</v>
      </c>
      <c r="B157" s="106">
        <v>1</v>
      </c>
      <c r="C157" s="119">
        <f>D157+E157</f>
        <v>22.824285714285722</v>
      </c>
      <c r="D157" s="119">
        <f t="shared" ref="D157:D166" si="18">I134</f>
        <v>22.354285714285723</v>
      </c>
      <c r="E157" s="118">
        <v>0.47</v>
      </c>
      <c r="F157" s="152">
        <f>E157/D157</f>
        <v>2.1025051124744367E-2</v>
      </c>
      <c r="G157" s="374">
        <f t="shared" ref="G157:G166" si="19">G30</f>
        <v>0.9</v>
      </c>
      <c r="H157" s="375">
        <f>E157-G157</f>
        <v>-0.43000000000000005</v>
      </c>
      <c r="J157" s="402">
        <f>C59</f>
        <v>2.1000000000000001E-2</v>
      </c>
      <c r="K157" s="150">
        <f>J157-F157</f>
        <v>-2.5051124744365771E-5</v>
      </c>
      <c r="M157" s="402">
        <f>C157/D157</f>
        <v>1.0210250511247443</v>
      </c>
      <c r="N157" s="143">
        <f>D157*M157</f>
        <v>22.824285714285722</v>
      </c>
      <c r="O157" s="287">
        <f t="shared" ref="O157:O166" si="20">N157-C157</f>
        <v>0</v>
      </c>
      <c r="P157" s="288">
        <f t="shared" ref="P157:P166" si="21">J157/F157</f>
        <v>0.99880851063829834</v>
      </c>
      <c r="Q157" s="289">
        <f t="shared" ref="Q157:Q166" si="22">P157*E157</f>
        <v>0.46944000000000019</v>
      </c>
      <c r="R157" s="267" t="s">
        <v>200</v>
      </c>
      <c r="U157" s="152">
        <f>E157/D157</f>
        <v>2.1025051124744367E-2</v>
      </c>
      <c r="Y157">
        <f>1.6/1.99</f>
        <v>0.8040201005025126</v>
      </c>
    </row>
    <row r="158" spans="1:25" ht="15" customHeight="1" x14ac:dyDescent="0.2">
      <c r="A158" s="118">
        <v>1.6</v>
      </c>
      <c r="B158" s="106">
        <v>2</v>
      </c>
      <c r="C158" s="120">
        <f t="shared" ref="C158:C166" si="23">D158+E158</f>
        <v>45.920857142857116</v>
      </c>
      <c r="D158" s="120">
        <f t="shared" si="18"/>
        <v>44.582857142857115</v>
      </c>
      <c r="E158" s="118">
        <v>1.3380000000000001</v>
      </c>
      <c r="F158" s="153">
        <f t="shared" ref="F158:F166" si="24">E158/D158</f>
        <v>3.0011535503717015E-2</v>
      </c>
      <c r="G158" s="376">
        <f t="shared" si="19"/>
        <v>1.6</v>
      </c>
      <c r="H158" s="377">
        <f t="shared" ref="H158:H166" si="25">E158-G158</f>
        <v>-0.26200000000000001</v>
      </c>
      <c r="J158" s="402">
        <f t="shared" ref="J158:J166" si="26">C60</f>
        <v>0.03</v>
      </c>
      <c r="K158" s="150">
        <f t="shared" ref="K158:K165" si="27">J158-F158</f>
        <v>-1.1535503717016032E-5</v>
      </c>
      <c r="M158" s="402">
        <f t="shared" ref="M158:M166" si="28">C158/D158</f>
        <v>1.0300115355037169</v>
      </c>
      <c r="N158" s="144">
        <f t="shared" ref="N158:N166" si="29">D158*M158</f>
        <v>45.920857142857109</v>
      </c>
      <c r="O158" s="287">
        <f t="shared" si="20"/>
        <v>0</v>
      </c>
      <c r="P158" s="288">
        <f t="shared" si="21"/>
        <v>0.99961563100576489</v>
      </c>
      <c r="Q158" s="290">
        <f t="shared" si="22"/>
        <v>1.3374857142857135</v>
      </c>
      <c r="R158" s="267" t="s">
        <v>312</v>
      </c>
      <c r="U158" s="152">
        <f t="shared" ref="U158:U166" si="30">E158/D158</f>
        <v>3.0011535503717015E-2</v>
      </c>
    </row>
    <row r="159" spans="1:25" ht="15" customHeight="1" x14ac:dyDescent="0.2">
      <c r="A159" s="118">
        <v>2.6</v>
      </c>
      <c r="B159" s="106">
        <v>3</v>
      </c>
      <c r="C159" s="121">
        <f t="shared" si="23"/>
        <v>64.755714285714262</v>
      </c>
      <c r="D159" s="121">
        <f t="shared" si="18"/>
        <v>62.325714285714263</v>
      </c>
      <c r="E159" s="118">
        <v>2.4300000000000002</v>
      </c>
      <c r="F159" s="154">
        <f t="shared" si="24"/>
        <v>3.8988722838544071E-2</v>
      </c>
      <c r="G159" s="378">
        <f t="shared" si="19"/>
        <v>2.6</v>
      </c>
      <c r="H159" s="379">
        <f t="shared" si="25"/>
        <v>-0.16999999999999993</v>
      </c>
      <c r="J159" s="402">
        <f t="shared" si="26"/>
        <v>3.9E-2</v>
      </c>
      <c r="K159" s="150">
        <f t="shared" si="27"/>
        <v>1.1277161455928997E-5</v>
      </c>
      <c r="M159" s="402">
        <f t="shared" si="28"/>
        <v>1.0389887228385442</v>
      </c>
      <c r="N159" s="145">
        <f t="shared" si="29"/>
        <v>64.755714285714262</v>
      </c>
      <c r="O159" s="287">
        <f t="shared" si="20"/>
        <v>0</v>
      </c>
      <c r="P159" s="288">
        <f t="shared" si="21"/>
        <v>1.0002892416225746</v>
      </c>
      <c r="Q159" s="288">
        <f t="shared" si="22"/>
        <v>2.4307028571428564</v>
      </c>
      <c r="R159" s="267" t="s">
        <v>143</v>
      </c>
      <c r="U159" s="152">
        <f t="shared" si="30"/>
        <v>3.8988722838544071E-2</v>
      </c>
    </row>
    <row r="160" spans="1:25" ht="15" customHeight="1" x14ac:dyDescent="0.2">
      <c r="A160" s="118">
        <v>3.8</v>
      </c>
      <c r="B160" s="106">
        <v>4</v>
      </c>
      <c r="C160" s="121">
        <f t="shared" si="23"/>
        <v>81.032857142857154</v>
      </c>
      <c r="D160" s="121">
        <f t="shared" si="18"/>
        <v>77.282857142857154</v>
      </c>
      <c r="E160" s="118">
        <v>3.75</v>
      </c>
      <c r="F160" s="154">
        <f t="shared" si="24"/>
        <v>4.8523050759732331E-2</v>
      </c>
      <c r="G160" s="378">
        <f t="shared" si="19"/>
        <v>3.8</v>
      </c>
      <c r="H160" s="379">
        <f t="shared" si="25"/>
        <v>-4.9999999999999822E-2</v>
      </c>
      <c r="J160" s="402">
        <f t="shared" si="26"/>
        <v>4.8499999999999995E-2</v>
      </c>
      <c r="K160" s="150">
        <f t="shared" si="27"/>
        <v>-2.3050759732336223E-5</v>
      </c>
      <c r="M160" s="402">
        <f t="shared" si="28"/>
        <v>1.0485230507597323</v>
      </c>
      <c r="N160" s="145">
        <f t="shared" si="29"/>
        <v>81.032857142857154</v>
      </c>
      <c r="O160" s="287">
        <f t="shared" si="20"/>
        <v>0</v>
      </c>
      <c r="P160" s="288">
        <f t="shared" si="21"/>
        <v>0.9995249523809524</v>
      </c>
      <c r="Q160" s="288">
        <f t="shared" si="22"/>
        <v>3.7482185714285716</v>
      </c>
      <c r="R160" s="88" t="s">
        <v>142</v>
      </c>
      <c r="U160" s="152">
        <f t="shared" si="30"/>
        <v>4.8523050759732331E-2</v>
      </c>
    </row>
    <row r="161" spans="1:25" ht="15" customHeight="1" x14ac:dyDescent="0.2">
      <c r="A161" s="118">
        <v>5.0999999999999996</v>
      </c>
      <c r="B161" s="106">
        <v>5</v>
      </c>
      <c r="C161" s="120">
        <f t="shared" si="23"/>
        <v>96.444285714285769</v>
      </c>
      <c r="D161" s="120">
        <f t="shared" si="18"/>
        <v>91.154285714285763</v>
      </c>
      <c r="E161" s="118">
        <v>5.29</v>
      </c>
      <c r="F161" s="153">
        <f t="shared" si="24"/>
        <v>5.8033475426278805E-2</v>
      </c>
      <c r="G161" s="376">
        <f t="shared" si="19"/>
        <v>5.0999999999999996</v>
      </c>
      <c r="H161" s="377">
        <f t="shared" si="25"/>
        <v>0.19000000000000039</v>
      </c>
      <c r="J161" s="402">
        <f t="shared" si="26"/>
        <v>5.7999999999999996E-2</v>
      </c>
      <c r="K161" s="150">
        <f t="shared" si="27"/>
        <v>-3.3475426278808951E-5</v>
      </c>
      <c r="M161" s="402">
        <f t="shared" si="28"/>
        <v>1.0580334754262788</v>
      </c>
      <c r="N161" s="144">
        <f t="shared" si="29"/>
        <v>96.444285714285755</v>
      </c>
      <c r="O161" s="287">
        <f t="shared" si="20"/>
        <v>0</v>
      </c>
      <c r="P161" s="288">
        <f t="shared" si="21"/>
        <v>0.99942317040237694</v>
      </c>
      <c r="Q161" s="290">
        <f t="shared" si="22"/>
        <v>5.2869485714285744</v>
      </c>
      <c r="U161" s="152">
        <f t="shared" si="30"/>
        <v>5.8033475426278805E-2</v>
      </c>
      <c r="Y161">
        <f>0.9/0.75</f>
        <v>1.2</v>
      </c>
    </row>
    <row r="162" spans="1:25" ht="15" customHeight="1" x14ac:dyDescent="0.2">
      <c r="A162" s="118">
        <v>15.1</v>
      </c>
      <c r="B162" s="106">
        <v>10</v>
      </c>
      <c r="C162" s="121">
        <f t="shared" si="23"/>
        <v>166.39571428571432</v>
      </c>
      <c r="D162" s="121">
        <f t="shared" si="18"/>
        <v>150.71571428571431</v>
      </c>
      <c r="E162" s="118">
        <v>15.68</v>
      </c>
      <c r="F162" s="154">
        <f t="shared" si="24"/>
        <v>0.10403692855991885</v>
      </c>
      <c r="G162" s="378">
        <f t="shared" si="19"/>
        <v>15.1</v>
      </c>
      <c r="H162" s="379">
        <f t="shared" si="25"/>
        <v>0.58000000000000007</v>
      </c>
      <c r="J162" s="402">
        <f t="shared" si="26"/>
        <v>0.10400000000000001</v>
      </c>
      <c r="K162" s="150">
        <f t="shared" si="27"/>
        <v>-3.6928559918839032E-5</v>
      </c>
      <c r="M162" s="402">
        <f t="shared" si="28"/>
        <v>1.104036928559919</v>
      </c>
      <c r="N162" s="145">
        <f t="shared" si="29"/>
        <v>166.39571428571432</v>
      </c>
      <c r="O162" s="287">
        <f t="shared" si="20"/>
        <v>0</v>
      </c>
      <c r="P162" s="288">
        <f t="shared" si="21"/>
        <v>0.99964504373177865</v>
      </c>
      <c r="Q162" s="288">
        <f t="shared" si="22"/>
        <v>15.674434285714289</v>
      </c>
      <c r="U162" s="152">
        <f t="shared" si="30"/>
        <v>0.10403692855991885</v>
      </c>
    </row>
    <row r="163" spans="1:25" ht="15" customHeight="1" x14ac:dyDescent="0.2">
      <c r="A163" s="118">
        <v>44</v>
      </c>
      <c r="B163" s="106">
        <v>20</v>
      </c>
      <c r="C163" s="121">
        <f t="shared" si="23"/>
        <v>289.9671428571429</v>
      </c>
      <c r="D163" s="121">
        <f t="shared" si="18"/>
        <v>252.13714285714292</v>
      </c>
      <c r="E163" s="118">
        <v>37.83</v>
      </c>
      <c r="F163" s="154">
        <f t="shared" si="24"/>
        <v>0.15003739461517537</v>
      </c>
      <c r="G163" s="378">
        <f t="shared" si="19"/>
        <v>44</v>
      </c>
      <c r="H163" s="379">
        <f t="shared" si="25"/>
        <v>-6.1700000000000017</v>
      </c>
      <c r="J163" s="402">
        <f t="shared" si="26"/>
        <v>0.15</v>
      </c>
      <c r="K163" s="150">
        <f t="shared" si="27"/>
        <v>-3.7394615175379009E-5</v>
      </c>
      <c r="M163" s="402">
        <f t="shared" si="28"/>
        <v>1.1500373946151754</v>
      </c>
      <c r="N163" s="145">
        <f t="shared" si="29"/>
        <v>289.9671428571429</v>
      </c>
      <c r="O163" s="287">
        <f t="shared" si="20"/>
        <v>0</v>
      </c>
      <c r="P163" s="288">
        <f t="shared" si="21"/>
        <v>0.99975076469921853</v>
      </c>
      <c r="Q163" s="288">
        <f t="shared" si="22"/>
        <v>37.820571428571434</v>
      </c>
      <c r="U163" s="152">
        <f t="shared" si="30"/>
        <v>0.15003739461517537</v>
      </c>
    </row>
    <row r="164" spans="1:25" ht="15" customHeight="1" x14ac:dyDescent="0.2">
      <c r="A164" s="118">
        <v>63.1</v>
      </c>
      <c r="B164" s="106">
        <v>30</v>
      </c>
      <c r="C164" s="121">
        <f>D164+E164</f>
        <v>391.22428571428577</v>
      </c>
      <c r="D164" s="121">
        <f t="shared" si="18"/>
        <v>340.1942857142858</v>
      </c>
      <c r="E164" s="118">
        <v>51.03</v>
      </c>
      <c r="F164" s="154">
        <f t="shared" si="24"/>
        <v>0.15000251956864982</v>
      </c>
      <c r="G164" s="378">
        <f t="shared" si="19"/>
        <v>63.1</v>
      </c>
      <c r="H164" s="379">
        <f t="shared" si="25"/>
        <v>-12.07</v>
      </c>
      <c r="J164" s="402">
        <f t="shared" si="26"/>
        <v>0.15</v>
      </c>
      <c r="K164" s="150">
        <f t="shared" si="27"/>
        <v>-2.5195686498280523E-6</v>
      </c>
      <c r="M164" s="402">
        <f t="shared" si="28"/>
        <v>1.1500025195686496</v>
      </c>
      <c r="N164" s="145">
        <f t="shared" si="29"/>
        <v>391.22428571428571</v>
      </c>
      <c r="O164" s="287">
        <f t="shared" si="20"/>
        <v>0</v>
      </c>
      <c r="P164" s="288">
        <f t="shared" si="21"/>
        <v>0.99998320315780642</v>
      </c>
      <c r="Q164" s="288">
        <f t="shared" si="22"/>
        <v>51.029142857142865</v>
      </c>
      <c r="U164" s="152">
        <f t="shared" si="30"/>
        <v>0.15000251956864982</v>
      </c>
    </row>
    <row r="165" spans="1:25" ht="15" customHeight="1" x14ac:dyDescent="0.2">
      <c r="A165" s="118">
        <v>78.8</v>
      </c>
      <c r="B165" s="106">
        <v>40</v>
      </c>
      <c r="C165" s="121">
        <f t="shared" si="23"/>
        <v>483.38714285714281</v>
      </c>
      <c r="D165" s="121">
        <f t="shared" si="18"/>
        <v>420.33714285714279</v>
      </c>
      <c r="E165" s="118">
        <v>63.05</v>
      </c>
      <c r="F165" s="154">
        <f t="shared" si="24"/>
        <v>0.1499986405470439</v>
      </c>
      <c r="G165" s="378">
        <f t="shared" si="19"/>
        <v>78.8</v>
      </c>
      <c r="H165" s="379">
        <f t="shared" si="25"/>
        <v>-15.75</v>
      </c>
      <c r="J165" s="402">
        <f t="shared" si="26"/>
        <v>0.15</v>
      </c>
      <c r="K165" s="150">
        <f t="shared" si="27"/>
        <v>1.3594529560956303E-6</v>
      </c>
      <c r="M165" s="402">
        <f t="shared" si="28"/>
        <v>1.1499986405470439</v>
      </c>
      <c r="N165" s="145">
        <f t="shared" si="29"/>
        <v>483.38714285714281</v>
      </c>
      <c r="O165" s="287">
        <f t="shared" si="20"/>
        <v>0</v>
      </c>
      <c r="P165" s="288">
        <f t="shared" si="21"/>
        <v>1.0000090631018463</v>
      </c>
      <c r="Q165" s="288">
        <f t="shared" si="22"/>
        <v>63.050571428571409</v>
      </c>
      <c r="U165" s="152">
        <f t="shared" si="30"/>
        <v>0.1499986405470439</v>
      </c>
    </row>
    <row r="166" spans="1:25" ht="15" customHeight="1" x14ac:dyDescent="0.2">
      <c r="A166" s="118">
        <v>93.8</v>
      </c>
      <c r="B166" s="106">
        <v>50</v>
      </c>
      <c r="C166" s="120">
        <f t="shared" si="23"/>
        <v>572.71571428571428</v>
      </c>
      <c r="D166" s="120">
        <f t="shared" si="18"/>
        <v>498.01571428571424</v>
      </c>
      <c r="E166" s="118">
        <v>74.7</v>
      </c>
      <c r="F166" s="153">
        <f t="shared" si="24"/>
        <v>0.1499952669307624</v>
      </c>
      <c r="G166" s="380">
        <f t="shared" si="19"/>
        <v>93.8</v>
      </c>
      <c r="H166" s="381">
        <f t="shared" si="25"/>
        <v>-19.099999999999994</v>
      </c>
      <c r="J166" s="403">
        <f t="shared" si="26"/>
        <v>0.15</v>
      </c>
      <c r="K166" s="151">
        <f>J166-F166</f>
        <v>4.7330692375946448E-6</v>
      </c>
      <c r="M166" s="403">
        <f t="shared" si="28"/>
        <v>1.1499952669307625</v>
      </c>
      <c r="N166" s="146">
        <f t="shared" si="29"/>
        <v>572.71571428571428</v>
      </c>
      <c r="O166" s="287">
        <f t="shared" si="20"/>
        <v>0</v>
      </c>
      <c r="P166" s="288">
        <f t="shared" si="21"/>
        <v>1.0000315547905907</v>
      </c>
      <c r="Q166" s="290">
        <f t="shared" si="22"/>
        <v>74.702357142857124</v>
      </c>
      <c r="U166" s="152">
        <f t="shared" si="30"/>
        <v>0.1499952669307624</v>
      </c>
    </row>
    <row r="167" spans="1:25" ht="15" customHeight="1" x14ac:dyDescent="0.2">
      <c r="K167" s="38"/>
    </row>
    <row r="168" spans="1:25" ht="15" customHeight="1" x14ac:dyDescent="0.2">
      <c r="K168" s="38"/>
    </row>
    <row r="169" spans="1:25" ht="15" customHeight="1" x14ac:dyDescent="0.2">
      <c r="A169" s="90" t="s">
        <v>80</v>
      </c>
      <c r="B169" s="64" t="s">
        <v>81</v>
      </c>
      <c r="I169" s="38"/>
    </row>
    <row r="170" spans="1:25" ht="15" customHeight="1" x14ac:dyDescent="0.2">
      <c r="A170" s="90"/>
      <c r="B170" s="28" t="s">
        <v>190</v>
      </c>
      <c r="I170" s="38"/>
      <c r="R170" t="s">
        <v>587</v>
      </c>
    </row>
    <row r="171" spans="1:25" ht="15" customHeight="1" x14ac:dyDescent="0.2">
      <c r="A171" s="90"/>
      <c r="B171" s="28" t="s">
        <v>189</v>
      </c>
      <c r="I171" s="38"/>
      <c r="R171" t="s">
        <v>626</v>
      </c>
    </row>
    <row r="172" spans="1:25" ht="15" customHeight="1" x14ac:dyDescent="0.2">
      <c r="A172" s="90"/>
      <c r="B172" s="28" t="s">
        <v>188</v>
      </c>
      <c r="I172" s="38"/>
      <c r="R172" t="s">
        <v>627</v>
      </c>
    </row>
    <row r="173" spans="1:25" ht="15" customHeight="1" x14ac:dyDescent="0.2">
      <c r="A173" s="90"/>
      <c r="B173" s="28" t="s">
        <v>187</v>
      </c>
      <c r="I173" s="38"/>
      <c r="R173" t="s">
        <v>628</v>
      </c>
    </row>
    <row r="174" spans="1:25" ht="15" customHeight="1" x14ac:dyDescent="0.2">
      <c r="A174" s="90"/>
      <c r="B174" s="28" t="s">
        <v>191</v>
      </c>
      <c r="I174" s="38"/>
    </row>
    <row r="175" spans="1:25" ht="15" customHeight="1" x14ac:dyDescent="0.2">
      <c r="A175" s="90"/>
      <c r="B175" s="28" t="s">
        <v>192</v>
      </c>
      <c r="I175" s="38"/>
    </row>
    <row r="176" spans="1:25" ht="15" customHeight="1" x14ac:dyDescent="0.2">
      <c r="B176" s="28" t="s">
        <v>193</v>
      </c>
      <c r="I176" s="38"/>
    </row>
    <row r="177" spans="2:26" ht="15" customHeight="1" x14ac:dyDescent="0.2">
      <c r="B177" s="28" t="s">
        <v>492</v>
      </c>
      <c r="I177" s="38"/>
    </row>
    <row r="178" spans="2:26" ht="15" customHeight="1" x14ac:dyDescent="0.2">
      <c r="I178" s="441" t="s">
        <v>630</v>
      </c>
      <c r="P178" s="308" t="s">
        <v>154</v>
      </c>
    </row>
    <row r="179" spans="2:26" ht="15" customHeight="1" x14ac:dyDescent="0.2">
      <c r="I179" s="884" t="str">
        <f>IF($B$12="12sxf450-psh","calc gas force = 73c, linear = 77","calc gas force = 69c, linear = 73")</f>
        <v>calc gas force = 69c, linear = 73</v>
      </c>
      <c r="M179" s="307" t="s">
        <v>152</v>
      </c>
      <c r="P179" s="878" t="s">
        <v>629</v>
      </c>
      <c r="Q179" s="825"/>
      <c r="R179" s="825"/>
      <c r="S179" s="825"/>
      <c r="T179" s="825"/>
      <c r="U179" s="825"/>
      <c r="V179" s="825"/>
      <c r="W179" s="825"/>
      <c r="X179" s="825"/>
      <c r="Y179" s="825"/>
      <c r="Z179" s="538"/>
    </row>
    <row r="180" spans="2:26" ht="15" customHeight="1" x14ac:dyDescent="0.2">
      <c r="D180" s="214" t="s">
        <v>163</v>
      </c>
      <c r="I180" s="38"/>
      <c r="P180" s="804" t="s">
        <v>540</v>
      </c>
    </row>
    <row r="181" spans="2:26" ht="15" customHeight="1" x14ac:dyDescent="0.2">
      <c r="C181" s="27" t="s">
        <v>457</v>
      </c>
      <c r="F181" s="38"/>
      <c r="G181" s="38"/>
      <c r="H181" s="38"/>
      <c r="I181" s="38"/>
      <c r="J181" s="359" t="s">
        <v>269</v>
      </c>
      <c r="K181" s="214"/>
      <c r="L181" s="214"/>
      <c r="M181" s="117" t="s">
        <v>194</v>
      </c>
      <c r="O181" s="38"/>
      <c r="P181" s="503" t="s">
        <v>374</v>
      </c>
      <c r="Q181" s="38"/>
    </row>
    <row r="182" spans="2:26" ht="15" customHeight="1" x14ac:dyDescent="0.2">
      <c r="B182" s="116"/>
      <c r="C182" s="91" t="s">
        <v>56</v>
      </c>
      <c r="D182" s="91" t="s">
        <v>56</v>
      </c>
      <c r="E182" s="205" t="s">
        <v>56</v>
      </c>
      <c r="F182" s="199" t="s">
        <v>56</v>
      </c>
      <c r="G182" s="199" t="s">
        <v>56</v>
      </c>
      <c r="H182" s="253" t="str">
        <f>J155</f>
        <v xml:space="preserve"> 1-6-15</v>
      </c>
      <c r="I182" s="117" t="s">
        <v>34</v>
      </c>
      <c r="J182" s="309" t="s">
        <v>103</v>
      </c>
      <c r="K182" s="309" t="s">
        <v>104</v>
      </c>
      <c r="L182" s="91" t="s">
        <v>22</v>
      </c>
      <c r="M182" s="117" t="s">
        <v>22</v>
      </c>
      <c r="O182" s="91" t="s">
        <v>34</v>
      </c>
      <c r="P182" s="91" t="s">
        <v>34</v>
      </c>
      <c r="Q182" s="205" t="s">
        <v>34</v>
      </c>
      <c r="R182" s="426" t="s">
        <v>290</v>
      </c>
      <c r="S182" s="427" t="s">
        <v>289</v>
      </c>
    </row>
    <row r="183" spans="2:26"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W183">
        <v>120</v>
      </c>
      <c r="X183">
        <v>120</v>
      </c>
    </row>
    <row r="184" spans="2:26"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c r="W184">
        <v>111</v>
      </c>
      <c r="X184">
        <v>111</v>
      </c>
    </row>
    <row r="185" spans="2:26" ht="15" customHeight="1" x14ac:dyDescent="0.2">
      <c r="B185" s="106">
        <v>1</v>
      </c>
      <c r="C185" s="119">
        <f>(D185-J185)</f>
        <v>40.824285714285722</v>
      </c>
      <c r="D185" s="698">
        <f>(F185+G185+M185+L185)+$E$179</f>
        <v>111.82428571428572</v>
      </c>
      <c r="E185" s="119">
        <f>F185+G185</f>
        <v>22.824285714285722</v>
      </c>
      <c r="F185" s="119">
        <f t="shared" ref="F185:G194" si="31">D157</f>
        <v>22.354285714285723</v>
      </c>
      <c r="G185" s="175">
        <f t="shared" si="31"/>
        <v>0.47</v>
      </c>
      <c r="H185" s="155">
        <f>G185/F185</f>
        <v>2.1025051124744367E-2</v>
      </c>
      <c r="I185" s="119">
        <f>O185</f>
        <v>75</v>
      </c>
      <c r="J185" s="694">
        <v>71</v>
      </c>
      <c r="K185" s="690">
        <v>4</v>
      </c>
      <c r="L185" s="507">
        <f>P185</f>
        <v>14</v>
      </c>
      <c r="M185" s="497">
        <v>75</v>
      </c>
      <c r="O185" s="417">
        <v>75</v>
      </c>
      <c r="P185" s="766">
        <v>14</v>
      </c>
      <c r="Q185" s="422">
        <v>109</v>
      </c>
      <c r="R185" s="432">
        <f>D185-Q185</f>
        <v>2.8242857142857218</v>
      </c>
      <c r="S185" s="433">
        <f t="shared" ref="S185:S194" si="32">G185-G30</f>
        <v>-0.43000000000000005</v>
      </c>
      <c r="T185" s="420">
        <v>13.9</v>
      </c>
      <c r="W185">
        <v>42</v>
      </c>
      <c r="X185">
        <v>37</v>
      </c>
    </row>
    <row r="186" spans="2:26" ht="15" customHeight="1" x14ac:dyDescent="0.2">
      <c r="B186" s="106">
        <v>2</v>
      </c>
      <c r="C186" s="120">
        <f t="shared" ref="C186:C193" si="33">(D186-J186)</f>
        <v>63.92085714285713</v>
      </c>
      <c r="D186" s="699">
        <f t="shared" ref="D186:D193" si="34">(F186+G186+M186+L186)+$E$179</f>
        <v>134.92085714285713</v>
      </c>
      <c r="E186" s="120">
        <f t="shared" ref="E186:E191" si="35">F186+G186</f>
        <v>45.920857142857116</v>
      </c>
      <c r="F186" s="120">
        <f t="shared" si="31"/>
        <v>44.582857142857115</v>
      </c>
      <c r="G186" s="176">
        <f t="shared" si="31"/>
        <v>1.3380000000000001</v>
      </c>
      <c r="H186" s="156">
        <f t="shared" ref="H186:H194" si="36">G186/F186</f>
        <v>3.0011535503717015E-2</v>
      </c>
      <c r="I186" s="120">
        <f t="shared" ref="I186:I194" si="37">O186</f>
        <v>75</v>
      </c>
      <c r="J186" s="695">
        <f>J185</f>
        <v>71</v>
      </c>
      <c r="K186" s="691">
        <v>4</v>
      </c>
      <c r="L186" s="506">
        <f>L185</f>
        <v>14</v>
      </c>
      <c r="M186" s="242">
        <v>75</v>
      </c>
      <c r="O186" s="242">
        <v>75</v>
      </c>
      <c r="P186" s="419">
        <v>5.0999999999999996</v>
      </c>
      <c r="Q186" s="423">
        <v>148</v>
      </c>
      <c r="R186" s="434">
        <f t="shared" ref="R186:R194" si="38">D186-Q186</f>
        <v>-13.07914285714287</v>
      </c>
      <c r="S186" s="435">
        <f t="shared" si="32"/>
        <v>-0.26200000000000001</v>
      </c>
      <c r="W186">
        <v>57</v>
      </c>
      <c r="X186">
        <v>56</v>
      </c>
    </row>
    <row r="187" spans="2:26" ht="15" customHeight="1" x14ac:dyDescent="0.2">
      <c r="B187" s="106">
        <v>3</v>
      </c>
      <c r="C187" s="121">
        <f t="shared" si="33"/>
        <v>82.755714285714248</v>
      </c>
      <c r="D187" s="700">
        <f>(F187+G187+M187+L187)+$E$179</f>
        <v>153.75571428571425</v>
      </c>
      <c r="E187" s="121">
        <f t="shared" si="35"/>
        <v>64.755714285714262</v>
      </c>
      <c r="F187" s="121">
        <f t="shared" si="31"/>
        <v>62.325714285714263</v>
      </c>
      <c r="G187" s="177">
        <f t="shared" si="31"/>
        <v>2.4300000000000002</v>
      </c>
      <c r="H187" s="157">
        <f t="shared" si="36"/>
        <v>3.8988722838544071E-2</v>
      </c>
      <c r="I187" s="121">
        <f t="shared" si="37"/>
        <v>75</v>
      </c>
      <c r="J187" s="696">
        <f t="shared" ref="J187:L194" si="39">J186</f>
        <v>71</v>
      </c>
      <c r="K187" s="692">
        <v>4</v>
      </c>
      <c r="L187" s="318">
        <f t="shared" si="39"/>
        <v>14</v>
      </c>
      <c r="M187" s="243">
        <v>75</v>
      </c>
      <c r="O187" s="243">
        <v>75</v>
      </c>
      <c r="P187" s="243">
        <v>6.2</v>
      </c>
      <c r="Q187" s="424">
        <v>172</v>
      </c>
      <c r="R187" s="436">
        <f t="shared" si="38"/>
        <v>-18.244285714285752</v>
      </c>
      <c r="S187" s="437">
        <f t="shared" si="32"/>
        <v>-0.16999999999999993</v>
      </c>
      <c r="W187">
        <f>SUM(W183:W186)</f>
        <v>330</v>
      </c>
      <c r="X187">
        <v>43</v>
      </c>
    </row>
    <row r="188" spans="2:26" ht="15" customHeight="1" x14ac:dyDescent="0.2">
      <c r="B188" s="106">
        <v>4</v>
      </c>
      <c r="C188" s="121">
        <f t="shared" si="33"/>
        <v>99.032857142857154</v>
      </c>
      <c r="D188" s="700">
        <f t="shared" si="34"/>
        <v>170.03285714285715</v>
      </c>
      <c r="E188" s="121">
        <f t="shared" si="35"/>
        <v>81.032857142857154</v>
      </c>
      <c r="F188" s="121">
        <f t="shared" si="31"/>
        <v>77.282857142857154</v>
      </c>
      <c r="G188" s="177">
        <f t="shared" si="31"/>
        <v>3.75</v>
      </c>
      <c r="H188" s="157">
        <f t="shared" si="36"/>
        <v>4.8523050759732331E-2</v>
      </c>
      <c r="I188" s="121">
        <f t="shared" si="37"/>
        <v>75</v>
      </c>
      <c r="J188" s="696">
        <f t="shared" si="39"/>
        <v>71</v>
      </c>
      <c r="K188" s="692">
        <v>4</v>
      </c>
      <c r="L188" s="318">
        <f t="shared" si="39"/>
        <v>14</v>
      </c>
      <c r="M188" s="243">
        <v>75</v>
      </c>
      <c r="O188" s="243">
        <v>75</v>
      </c>
      <c r="P188" s="243">
        <v>7.1</v>
      </c>
      <c r="Q188" s="424">
        <v>191</v>
      </c>
      <c r="R188" s="436">
        <f t="shared" si="38"/>
        <v>-20.967142857142846</v>
      </c>
      <c r="S188" s="437">
        <f t="shared" si="32"/>
        <v>-4.9999999999999822E-2</v>
      </c>
      <c r="X188">
        <f>SUM(X183:X187)</f>
        <v>367</v>
      </c>
    </row>
    <row r="189" spans="2:26" ht="15" customHeight="1" x14ac:dyDescent="0.2">
      <c r="B189" s="106">
        <v>5</v>
      </c>
      <c r="C189" s="120">
        <f t="shared" si="33"/>
        <v>114.44428571428577</v>
      </c>
      <c r="D189" s="699">
        <f t="shared" si="34"/>
        <v>185.44428571428577</v>
      </c>
      <c r="E189" s="120">
        <f t="shared" si="35"/>
        <v>96.444285714285769</v>
      </c>
      <c r="F189" s="120">
        <f t="shared" si="31"/>
        <v>91.154285714285763</v>
      </c>
      <c r="G189" s="176">
        <f t="shared" si="31"/>
        <v>5.29</v>
      </c>
      <c r="H189" s="156">
        <f t="shared" si="36"/>
        <v>5.8033475426278805E-2</v>
      </c>
      <c r="I189" s="120">
        <f t="shared" si="37"/>
        <v>75</v>
      </c>
      <c r="J189" s="695">
        <f t="shared" si="39"/>
        <v>71</v>
      </c>
      <c r="K189" s="691">
        <v>4</v>
      </c>
      <c r="L189" s="317">
        <f t="shared" si="39"/>
        <v>14</v>
      </c>
      <c r="M189" s="242">
        <v>75</v>
      </c>
      <c r="O189" s="242">
        <v>75</v>
      </c>
      <c r="P189" s="242">
        <v>8.5</v>
      </c>
      <c r="Q189" s="423">
        <v>209</v>
      </c>
      <c r="R189" s="434">
        <f t="shared" si="38"/>
        <v>-23.555714285714231</v>
      </c>
      <c r="S189" s="435">
        <f t="shared" si="32"/>
        <v>0.19000000000000039</v>
      </c>
    </row>
    <row r="190" spans="2:26" ht="15" customHeight="1" x14ac:dyDescent="0.2">
      <c r="B190" s="106">
        <v>10</v>
      </c>
      <c r="C190" s="121">
        <f t="shared" si="33"/>
        <v>184.39571428571432</v>
      </c>
      <c r="D190" s="700">
        <f t="shared" si="34"/>
        <v>255.39571428571432</v>
      </c>
      <c r="E190" s="121">
        <f t="shared" si="35"/>
        <v>166.39571428571432</v>
      </c>
      <c r="F190" s="121">
        <f t="shared" si="31"/>
        <v>150.71571428571431</v>
      </c>
      <c r="G190" s="177">
        <f t="shared" si="31"/>
        <v>15.68</v>
      </c>
      <c r="H190" s="157">
        <f t="shared" si="36"/>
        <v>0.10403692855991885</v>
      </c>
      <c r="I190" s="121">
        <f t="shared" si="37"/>
        <v>75</v>
      </c>
      <c r="J190" s="696">
        <f t="shared" si="39"/>
        <v>71</v>
      </c>
      <c r="K190" s="692">
        <v>4</v>
      </c>
      <c r="L190" s="318">
        <f t="shared" si="39"/>
        <v>14</v>
      </c>
      <c r="M190" s="243">
        <v>75</v>
      </c>
      <c r="O190" s="243">
        <v>75</v>
      </c>
      <c r="P190" s="243">
        <v>10.6</v>
      </c>
      <c r="Q190" s="424">
        <v>287</v>
      </c>
      <c r="R190" s="436">
        <f t="shared" si="38"/>
        <v>-31.60428571428568</v>
      </c>
      <c r="S190" s="437">
        <f t="shared" si="32"/>
        <v>0.58000000000000007</v>
      </c>
    </row>
    <row r="191" spans="2:26" ht="15" customHeight="1" x14ac:dyDescent="0.2">
      <c r="B191" s="106">
        <v>20</v>
      </c>
      <c r="C191" s="121">
        <f t="shared" si="33"/>
        <v>307.9671428571429</v>
      </c>
      <c r="D191" s="700">
        <f t="shared" si="34"/>
        <v>378.9671428571429</v>
      </c>
      <c r="E191" s="121">
        <f t="shared" si="35"/>
        <v>289.9671428571429</v>
      </c>
      <c r="F191" s="121">
        <f t="shared" si="31"/>
        <v>252.13714285714292</v>
      </c>
      <c r="G191" s="177">
        <f t="shared" si="31"/>
        <v>37.83</v>
      </c>
      <c r="H191" s="157">
        <f t="shared" si="36"/>
        <v>0.15003739461517537</v>
      </c>
      <c r="I191" s="121">
        <f t="shared" si="37"/>
        <v>75</v>
      </c>
      <c r="J191" s="696">
        <f t="shared" si="39"/>
        <v>71</v>
      </c>
      <c r="K191" s="692">
        <v>4</v>
      </c>
      <c r="L191" s="318">
        <f t="shared" si="39"/>
        <v>14</v>
      </c>
      <c r="M191" s="243">
        <v>75</v>
      </c>
      <c r="O191" s="243">
        <v>75</v>
      </c>
      <c r="P191" s="243">
        <v>12.4</v>
      </c>
      <c r="Q191" s="424">
        <v>439</v>
      </c>
      <c r="R191" s="436">
        <f t="shared" si="38"/>
        <v>-60.032857142857097</v>
      </c>
      <c r="S191" s="437">
        <f t="shared" si="32"/>
        <v>-6.1700000000000017</v>
      </c>
      <c r="X191">
        <f>367-330</f>
        <v>37</v>
      </c>
    </row>
    <row r="192" spans="2:26" ht="15" customHeight="1" x14ac:dyDescent="0.2">
      <c r="B192" s="106">
        <v>30</v>
      </c>
      <c r="C192" s="121">
        <f t="shared" si="33"/>
        <v>409.22428571428577</v>
      </c>
      <c r="D192" s="700">
        <f t="shared" si="34"/>
        <v>480.22428571428577</v>
      </c>
      <c r="E192" s="121">
        <f>F192+G192</f>
        <v>391.22428571428577</v>
      </c>
      <c r="F192" s="121">
        <f t="shared" si="31"/>
        <v>340.1942857142858</v>
      </c>
      <c r="G192" s="177">
        <f t="shared" si="31"/>
        <v>51.03</v>
      </c>
      <c r="H192" s="157">
        <f t="shared" si="36"/>
        <v>0.15000251956864982</v>
      </c>
      <c r="I192" s="121">
        <f t="shared" si="37"/>
        <v>75</v>
      </c>
      <c r="J192" s="696">
        <f t="shared" si="39"/>
        <v>71</v>
      </c>
      <c r="K192" s="692">
        <v>4</v>
      </c>
      <c r="L192" s="318">
        <f t="shared" si="39"/>
        <v>14</v>
      </c>
      <c r="M192" s="243">
        <v>75</v>
      </c>
      <c r="O192" s="243">
        <v>75</v>
      </c>
      <c r="P192" s="243">
        <v>12</v>
      </c>
      <c r="Q192" s="424">
        <v>562</v>
      </c>
      <c r="R192" s="436">
        <f t="shared" si="38"/>
        <v>-81.77571428571423</v>
      </c>
      <c r="S192" s="437">
        <f t="shared" si="32"/>
        <v>-12.07</v>
      </c>
    </row>
    <row r="193" spans="1:24" ht="15" customHeight="1" x14ac:dyDescent="0.2">
      <c r="B193" s="106">
        <v>40</v>
      </c>
      <c r="C193" s="121">
        <f t="shared" si="33"/>
        <v>502.38714285714286</v>
      </c>
      <c r="D193" s="700">
        <f t="shared" si="34"/>
        <v>573.38714285714286</v>
      </c>
      <c r="E193" s="121">
        <f t="shared" ref="E193:E194" si="40">F193+G193</f>
        <v>483.38714285714281</v>
      </c>
      <c r="F193" s="121">
        <f t="shared" si="31"/>
        <v>420.33714285714279</v>
      </c>
      <c r="G193" s="177">
        <f t="shared" si="31"/>
        <v>63.05</v>
      </c>
      <c r="H193" s="157">
        <f t="shared" si="36"/>
        <v>0.1499986405470439</v>
      </c>
      <c r="I193" s="121">
        <f t="shared" si="37"/>
        <v>76</v>
      </c>
      <c r="J193" s="696">
        <f t="shared" si="39"/>
        <v>71</v>
      </c>
      <c r="K193" s="692">
        <v>4</v>
      </c>
      <c r="L193" s="318">
        <f t="shared" si="39"/>
        <v>14</v>
      </c>
      <c r="M193" s="243">
        <v>76</v>
      </c>
      <c r="O193" s="243">
        <v>76</v>
      </c>
      <c r="P193" s="243">
        <v>12.9</v>
      </c>
      <c r="Q193" s="424">
        <v>675</v>
      </c>
      <c r="R193" s="436">
        <f t="shared" si="38"/>
        <v>-101.61285714285714</v>
      </c>
      <c r="S193" s="437">
        <f t="shared" si="32"/>
        <v>-15.75</v>
      </c>
      <c r="X193">
        <f>343+37</f>
        <v>380</v>
      </c>
    </row>
    <row r="194" spans="1:24" ht="15" customHeight="1" thickBot="1" x14ac:dyDescent="0.25">
      <c r="B194" s="106">
        <v>50</v>
      </c>
      <c r="C194" s="120">
        <f>(D194-J194)</f>
        <v>592.71571428571428</v>
      </c>
      <c r="D194" s="701">
        <f>(F194+G194+M194+L194)+$E$179</f>
        <v>663.71571428571428</v>
      </c>
      <c r="E194" s="120">
        <f t="shared" si="40"/>
        <v>572.71571428571428</v>
      </c>
      <c r="F194" s="120">
        <f t="shared" si="31"/>
        <v>498.01571428571424</v>
      </c>
      <c r="G194" s="176">
        <f t="shared" si="31"/>
        <v>74.7</v>
      </c>
      <c r="H194" s="156">
        <f t="shared" si="36"/>
        <v>0.1499952669307624</v>
      </c>
      <c r="I194" s="120">
        <f t="shared" si="37"/>
        <v>77</v>
      </c>
      <c r="J194" s="697">
        <f t="shared" si="39"/>
        <v>71</v>
      </c>
      <c r="K194" s="693">
        <v>4</v>
      </c>
      <c r="L194" s="553">
        <f t="shared" si="39"/>
        <v>14</v>
      </c>
      <c r="M194" s="554">
        <v>77</v>
      </c>
      <c r="O194" s="554">
        <v>77</v>
      </c>
      <c r="P194" s="242">
        <v>13.4</v>
      </c>
      <c r="Q194" s="423">
        <v>786</v>
      </c>
      <c r="R194" s="438">
        <f t="shared" si="38"/>
        <v>-122.28428571428572</v>
      </c>
      <c r="S194" s="439">
        <f t="shared" si="32"/>
        <v>-19.099999999999994</v>
      </c>
    </row>
    <row r="195" spans="1:24" ht="15" customHeight="1" x14ac:dyDescent="0.2">
      <c r="I195" s="38"/>
      <c r="J195" s="560"/>
      <c r="K195" s="561"/>
      <c r="L195" s="565"/>
      <c r="M195" s="565"/>
      <c r="N195" s="565"/>
      <c r="O195" s="572"/>
    </row>
    <row r="196" spans="1:24" ht="15" customHeight="1" thickBot="1" x14ac:dyDescent="0.25">
      <c r="I196" s="38"/>
      <c r="J196" s="568" t="s">
        <v>422</v>
      </c>
      <c r="K196" s="569"/>
      <c r="L196" s="573"/>
      <c r="M196" s="573"/>
      <c r="N196" s="573"/>
      <c r="O196" s="574"/>
    </row>
    <row r="197" spans="1:24" x14ac:dyDescent="0.2">
      <c r="A197" s="90" t="s">
        <v>82</v>
      </c>
      <c r="B197" s="64" t="s">
        <v>83</v>
      </c>
      <c r="I197" s="38"/>
    </row>
    <row r="198" spans="1:24" ht="15" customHeight="1" x14ac:dyDescent="0.2">
      <c r="N198" s="500" t="s">
        <v>377</v>
      </c>
    </row>
    <row r="199" spans="1:24" ht="15" customHeight="1" x14ac:dyDescent="0.2">
      <c r="B199" s="90" t="s">
        <v>91</v>
      </c>
      <c r="C199" s="40"/>
      <c r="H199" s="503"/>
      <c r="I199" s="38"/>
    </row>
    <row r="200" spans="1:24" ht="15" customHeight="1" x14ac:dyDescent="0.2">
      <c r="B200" s="64" t="s">
        <v>92</v>
      </c>
      <c r="C200" s="40"/>
      <c r="D200" s="40"/>
      <c r="E200" s="40"/>
      <c r="F200" s="40"/>
      <c r="G200" s="40"/>
      <c r="H200" s="40"/>
      <c r="I200" s="40"/>
      <c r="J200" s="40"/>
      <c r="K200" s="40"/>
      <c r="L200" s="40"/>
      <c r="Q200" s="28" t="s">
        <v>168</v>
      </c>
    </row>
    <row r="201" spans="1:24" ht="15" customHeight="1" x14ac:dyDescent="0.2">
      <c r="B201" s="90" t="s">
        <v>93</v>
      </c>
      <c r="C201" s="40"/>
      <c r="D201" s="40"/>
      <c r="E201" s="40"/>
      <c r="F201" s="306" t="s">
        <v>153</v>
      </c>
      <c r="G201" s="40"/>
      <c r="H201" s="40"/>
      <c r="I201" s="28" t="s">
        <v>24</v>
      </c>
      <c r="J201" s="40"/>
      <c r="K201" s="40"/>
      <c r="Q201" s="28" t="s">
        <v>169</v>
      </c>
    </row>
    <row r="202" spans="1:24" ht="15" customHeight="1" x14ac:dyDescent="0.2">
      <c r="D202" s="56"/>
      <c r="H202" s="31" t="s">
        <v>11</v>
      </c>
      <c r="I202" s="32"/>
      <c r="J202" s="32"/>
      <c r="K202" s="33"/>
      <c r="L202" s="31" t="s">
        <v>16</v>
      </c>
      <c r="M202" s="32"/>
      <c r="N202" s="33"/>
      <c r="O202" s="84"/>
      <c r="P202" s="91" t="s">
        <v>56</v>
      </c>
      <c r="Q202" t="s">
        <v>117</v>
      </c>
    </row>
    <row r="203" spans="1:24"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4"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4" ht="15" customHeight="1" x14ac:dyDescent="0.2">
      <c r="B205" s="259" t="s">
        <v>6</v>
      </c>
      <c r="C205" s="12" t="s">
        <v>9</v>
      </c>
      <c r="D205" s="260">
        <v>2.52</v>
      </c>
      <c r="E205" s="255">
        <v>1</v>
      </c>
      <c r="F205" s="249">
        <v>1.0321157904456688</v>
      </c>
      <c r="G205" s="122">
        <v>1.0321157904456688</v>
      </c>
      <c r="H205" s="34">
        <f>(D206*2.20462*25.4*12)</f>
        <v>3359.8408799999997</v>
      </c>
      <c r="I205" s="5">
        <f>F205*D$205*SQRT(4*D$207*H$205/32.2)/12</f>
        <v>40.824285714285729</v>
      </c>
      <c r="J205" s="1"/>
      <c r="K205" s="22"/>
      <c r="L205" s="96">
        <v>1</v>
      </c>
      <c r="M205" s="92">
        <f>L205*I205</f>
        <v>40.824285714285729</v>
      </c>
      <c r="N205" s="13"/>
      <c r="O205" s="84">
        <v>1</v>
      </c>
      <c r="P205" s="92">
        <f>C185</f>
        <v>40.824285714285722</v>
      </c>
      <c r="Q205" s="254">
        <f>P205/M205</f>
        <v>0.99999999999999978</v>
      </c>
      <c r="R205" s="254">
        <f>G205*Q205</f>
        <v>1.0321157904456686</v>
      </c>
      <c r="S205" s="267" t="s">
        <v>138</v>
      </c>
    </row>
    <row r="206" spans="1:24" ht="15" customHeight="1" x14ac:dyDescent="0.2">
      <c r="B206" s="259" t="s">
        <v>7</v>
      </c>
      <c r="C206" s="12" t="s">
        <v>10</v>
      </c>
      <c r="D206" s="444">
        <v>5</v>
      </c>
      <c r="E206" s="255">
        <v>2</v>
      </c>
      <c r="F206" s="250">
        <v>0.80802057943757655</v>
      </c>
      <c r="G206" s="123">
        <v>0.80802057943757655</v>
      </c>
      <c r="H206" s="35"/>
      <c r="I206" s="5">
        <f>F206*D$205*SQRT(4*D$207*H$205/32.2)/12</f>
        <v>31.960428571428565</v>
      </c>
      <c r="J206" s="1"/>
      <c r="K206" s="22"/>
      <c r="L206" s="97">
        <v>2</v>
      </c>
      <c r="M206" s="93">
        <f>L206*I206</f>
        <v>63.92085714285713</v>
      </c>
      <c r="N206" s="13"/>
      <c r="O206" s="84">
        <v>2</v>
      </c>
      <c r="P206" s="93">
        <f t="shared" ref="P206:P214" si="41">C186</f>
        <v>63.92085714285713</v>
      </c>
      <c r="Q206" s="254">
        <f t="shared" ref="Q206:Q214" si="42">P206/M206</f>
        <v>1</v>
      </c>
      <c r="R206" s="254">
        <f t="shared" ref="R206:R214" si="43">G206*Q206</f>
        <v>0.80802057943757655</v>
      </c>
      <c r="S206" s="267" t="s">
        <v>139</v>
      </c>
    </row>
    <row r="207" spans="1:24" ht="15" customHeight="1" x14ac:dyDescent="0.2">
      <c r="B207" s="261" t="s">
        <v>8</v>
      </c>
      <c r="C207" s="262" t="s">
        <v>15</v>
      </c>
      <c r="D207" s="263">
        <v>85</v>
      </c>
      <c r="E207" s="255">
        <v>3</v>
      </c>
      <c r="F207" s="249">
        <v>0.69740742117468724</v>
      </c>
      <c r="G207" s="122">
        <v>0.69740742117468724</v>
      </c>
      <c r="H207" s="35"/>
      <c r="I207" s="5">
        <f t="shared" ref="I207:I214" si="44">F207*D$205*SQRT(4*D$207*H$205/32.2)/12</f>
        <v>27.585238095238086</v>
      </c>
      <c r="J207" s="1"/>
      <c r="K207" s="22"/>
      <c r="L207" s="98">
        <v>3</v>
      </c>
      <c r="M207" s="94">
        <f t="shared" ref="M207:M213" si="45">L207*I207</f>
        <v>82.755714285714262</v>
      </c>
      <c r="N207" s="13"/>
      <c r="O207" s="84">
        <v>3</v>
      </c>
      <c r="P207" s="94">
        <f t="shared" si="41"/>
        <v>82.755714285714248</v>
      </c>
      <c r="Q207" s="254">
        <f t="shared" si="42"/>
        <v>0.99999999999999978</v>
      </c>
      <c r="R207" s="254">
        <f t="shared" si="43"/>
        <v>0.69740742117468713</v>
      </c>
    </row>
    <row r="208" spans="1:24" ht="15" customHeight="1" x14ac:dyDescent="0.2">
      <c r="E208" s="30">
        <v>4</v>
      </c>
      <c r="F208" s="249">
        <v>0.6259348684349747</v>
      </c>
      <c r="G208" s="122">
        <v>0.6259348684349747</v>
      </c>
      <c r="H208" s="35"/>
      <c r="I208" s="5">
        <f t="shared" si="44"/>
        <v>24.758214285714288</v>
      </c>
      <c r="J208" s="1"/>
      <c r="K208" s="22"/>
      <c r="L208" s="98">
        <v>4</v>
      </c>
      <c r="M208" s="94">
        <f t="shared" si="45"/>
        <v>99.032857142857154</v>
      </c>
      <c r="N208" s="13"/>
      <c r="O208" s="84">
        <v>4</v>
      </c>
      <c r="P208" s="94">
        <f t="shared" si="41"/>
        <v>99.032857142857154</v>
      </c>
      <c r="Q208" s="254">
        <f t="shared" si="42"/>
        <v>1</v>
      </c>
      <c r="R208" s="254">
        <f t="shared" si="43"/>
        <v>0.6259348684349747</v>
      </c>
    </row>
    <row r="209" spans="1:20" ht="15" customHeight="1" x14ac:dyDescent="0.2">
      <c r="B209" s="268" t="s">
        <v>132</v>
      </c>
      <c r="E209" s="30">
        <v>5</v>
      </c>
      <c r="F209" s="250">
        <v>0.57867395519748743</v>
      </c>
      <c r="G209" s="123">
        <v>0.57867395519748743</v>
      </c>
      <c r="H209" s="35"/>
      <c r="I209" s="5">
        <f t="shared" si="44"/>
        <v>22.888857142857152</v>
      </c>
      <c r="J209" s="1"/>
      <c r="K209" s="22"/>
      <c r="L209" s="97">
        <v>5</v>
      </c>
      <c r="M209" s="93">
        <f t="shared" si="45"/>
        <v>114.44428571428575</v>
      </c>
      <c r="N209" s="13"/>
      <c r="O209" s="84">
        <v>5</v>
      </c>
      <c r="P209" s="93">
        <f t="shared" si="41"/>
        <v>114.44428571428577</v>
      </c>
      <c r="Q209" s="254">
        <f t="shared" si="42"/>
        <v>1.0000000000000002</v>
      </c>
      <c r="R209" s="254">
        <f t="shared" si="43"/>
        <v>0.57867395519748754</v>
      </c>
    </row>
    <row r="210" spans="1:20" ht="15" customHeight="1" x14ac:dyDescent="0.2">
      <c r="B210" s="42" t="s">
        <v>131</v>
      </c>
      <c r="E210" s="30">
        <v>10</v>
      </c>
      <c r="F210" s="249">
        <v>0.46618752802377988</v>
      </c>
      <c r="G210" s="122">
        <v>0.46618752802377988</v>
      </c>
      <c r="H210" s="35"/>
      <c r="I210" s="5">
        <f t="shared" si="44"/>
        <v>18.43957142857143</v>
      </c>
      <c r="J210" s="1"/>
      <c r="K210" s="22"/>
      <c r="L210" s="98">
        <v>10</v>
      </c>
      <c r="M210" s="94">
        <f t="shared" si="45"/>
        <v>184.39571428571429</v>
      </c>
      <c r="N210" s="13"/>
      <c r="O210" s="84">
        <v>10</v>
      </c>
      <c r="P210" s="94">
        <f t="shared" si="41"/>
        <v>184.39571428571432</v>
      </c>
      <c r="Q210" s="254">
        <f t="shared" si="42"/>
        <v>1.0000000000000002</v>
      </c>
      <c r="R210" s="254">
        <f t="shared" si="43"/>
        <v>0.46618752802378</v>
      </c>
      <c r="T210" s="251" t="s">
        <v>686</v>
      </c>
    </row>
    <row r="211" spans="1:20" ht="15" customHeight="1" x14ac:dyDescent="0.2">
      <c r="E211" s="30">
        <v>20</v>
      </c>
      <c r="F211" s="249">
        <v>0.38929983160742193</v>
      </c>
      <c r="G211" s="122">
        <v>0.38929983160742193</v>
      </c>
      <c r="H211" s="35"/>
      <c r="I211" s="5">
        <f t="shared" si="44"/>
        <v>15.398357142857146</v>
      </c>
      <c r="J211" s="1"/>
      <c r="K211" s="22"/>
      <c r="L211" s="98">
        <v>20</v>
      </c>
      <c r="M211" s="94">
        <f t="shared" si="45"/>
        <v>307.9671428571429</v>
      </c>
      <c r="N211" s="13"/>
      <c r="O211" s="84">
        <v>20</v>
      </c>
      <c r="P211" s="94">
        <f t="shared" si="41"/>
        <v>307.9671428571429</v>
      </c>
      <c r="Q211" s="254">
        <f t="shared" si="42"/>
        <v>1</v>
      </c>
      <c r="R211" s="254">
        <f t="shared" si="43"/>
        <v>0.38929983160742193</v>
      </c>
    </row>
    <row r="212" spans="1:20" ht="15" customHeight="1" x14ac:dyDescent="0.2">
      <c r="E212" s="30">
        <v>30</v>
      </c>
      <c r="F212" s="249">
        <v>0.34486567634075765</v>
      </c>
      <c r="G212" s="122">
        <v>0.34486567634075765</v>
      </c>
      <c r="H212" s="35"/>
      <c r="I212" s="5">
        <f t="shared" si="44"/>
        <v>13.640809523809528</v>
      </c>
      <c r="J212" s="1"/>
      <c r="K212" s="22"/>
      <c r="L212" s="98">
        <v>30</v>
      </c>
      <c r="M212" s="94">
        <f>L212*I212</f>
        <v>409.22428571428583</v>
      </c>
      <c r="N212" s="13"/>
      <c r="O212" s="84">
        <v>30</v>
      </c>
      <c r="P212" s="94">
        <f t="shared" si="41"/>
        <v>409.22428571428577</v>
      </c>
      <c r="Q212" s="254">
        <f t="shared" si="42"/>
        <v>0.99999999999999989</v>
      </c>
      <c r="R212" s="254">
        <f t="shared" si="43"/>
        <v>0.3448656763407576</v>
      </c>
    </row>
    <row r="213" spans="1:20" ht="15" customHeight="1" x14ac:dyDescent="0.2">
      <c r="E213" s="30">
        <v>40</v>
      </c>
      <c r="F213" s="249">
        <v>0.31753262426236023</v>
      </c>
      <c r="G213" s="122">
        <v>0.31753262426236023</v>
      </c>
      <c r="H213" s="35"/>
      <c r="I213" s="5">
        <f t="shared" si="44"/>
        <v>12.559678571428572</v>
      </c>
      <c r="J213" s="1"/>
      <c r="K213" s="22"/>
      <c r="L213" s="98">
        <v>40</v>
      </c>
      <c r="M213" s="94">
        <f t="shared" si="45"/>
        <v>502.38714285714286</v>
      </c>
      <c r="N213" s="13"/>
      <c r="O213" s="84">
        <v>40</v>
      </c>
      <c r="P213" s="126">
        <f t="shared" si="41"/>
        <v>502.38714285714286</v>
      </c>
      <c r="Q213" s="254">
        <f t="shared" si="42"/>
        <v>1</v>
      </c>
      <c r="R213" s="254">
        <f t="shared" si="43"/>
        <v>0.31753262426236023</v>
      </c>
    </row>
    <row r="214" spans="1:20" ht="15" customHeight="1" x14ac:dyDescent="0.2">
      <c r="E214" s="30">
        <v>50</v>
      </c>
      <c r="F214" s="250">
        <v>0.2996996700645263</v>
      </c>
      <c r="G214" s="123">
        <v>0.2996996700645263</v>
      </c>
      <c r="H214" s="36"/>
      <c r="I214" s="23">
        <f t="shared" si="44"/>
        <v>11.854314285714288</v>
      </c>
      <c r="J214" s="24"/>
      <c r="K214" s="17"/>
      <c r="L214" s="99">
        <v>50</v>
      </c>
      <c r="M214" s="100">
        <f>L214*I214</f>
        <v>592.7157142857144</v>
      </c>
      <c r="N214" s="16"/>
      <c r="O214" s="107">
        <v>50</v>
      </c>
      <c r="P214" s="127">
        <f t="shared" si="41"/>
        <v>592.71571428571428</v>
      </c>
      <c r="Q214" s="254">
        <f t="shared" si="42"/>
        <v>0.99999999999999978</v>
      </c>
      <c r="R214" s="254">
        <f t="shared" si="43"/>
        <v>0.29969967006452625</v>
      </c>
    </row>
    <row r="215" spans="1:20" ht="15" customHeight="1" x14ac:dyDescent="0.2">
      <c r="E215" s="2"/>
      <c r="F215" s="160"/>
      <c r="G215" s="160"/>
      <c r="H215" s="40"/>
      <c r="I215" s="161"/>
      <c r="J215" s="40"/>
      <c r="K215" s="40"/>
      <c r="L215" s="162"/>
      <c r="M215" s="162"/>
      <c r="N215" s="66"/>
      <c r="O215" s="163"/>
      <c r="P215" s="162"/>
    </row>
    <row r="216" spans="1:20" ht="15" customHeight="1" x14ac:dyDescent="0.2">
      <c r="E216" s="879"/>
      <c r="F216" s="880"/>
      <c r="G216" s="160"/>
      <c r="H216" s="40"/>
      <c r="I216" s="161"/>
      <c r="J216" s="40"/>
      <c r="K216" s="1"/>
      <c r="L216" s="162"/>
      <c r="M216" s="321"/>
      <c r="N216" s="322" t="s">
        <v>167</v>
      </c>
      <c r="P216" s="162"/>
    </row>
    <row r="217" spans="1:20" ht="15" customHeight="1" x14ac:dyDescent="0.2">
      <c r="E217" s="881" t="s">
        <v>423</v>
      </c>
      <c r="F217" s="882"/>
      <c r="G217" s="40"/>
      <c r="H217" s="40"/>
      <c r="I217" s="40"/>
      <c r="J217" s="40"/>
      <c r="K217" s="40"/>
      <c r="L217" s="40"/>
      <c r="M217" s="40"/>
      <c r="P217" s="41"/>
    </row>
    <row r="218" spans="1:20" ht="15" customHeight="1" x14ac:dyDescent="0.2">
      <c r="A218" s="90" t="s">
        <v>85</v>
      </c>
      <c r="B218" s="64" t="s">
        <v>86</v>
      </c>
      <c r="S218" t="s">
        <v>632</v>
      </c>
    </row>
    <row r="219" spans="1:20" ht="15" customHeight="1" x14ac:dyDescent="0.2">
      <c r="B219" s="64" t="s">
        <v>372</v>
      </c>
    </row>
    <row r="220" spans="1:20" ht="15" customHeight="1" x14ac:dyDescent="0.2"/>
    <row r="221" spans="1:20" ht="15" customHeight="1" x14ac:dyDescent="0.2">
      <c r="B221" s="90"/>
      <c r="F221" s="1"/>
    </row>
    <row r="222" spans="1:20" ht="15" customHeight="1" x14ac:dyDescent="0.2">
      <c r="B222" s="64"/>
      <c r="J222" s="64" t="s">
        <v>88</v>
      </c>
    </row>
    <row r="223" spans="1:20" ht="15" customHeight="1" thickBot="1" x14ac:dyDescent="0.25">
      <c r="B223" s="90"/>
      <c r="H223" s="502" t="s">
        <v>373</v>
      </c>
    </row>
    <row r="224" spans="1:20"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1-6-15</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6">D206</f>
        <v>5</v>
      </c>
      <c r="C227" s="1" t="s">
        <v>0</v>
      </c>
      <c r="D227" s="22"/>
      <c r="E227" s="71">
        <v>1</v>
      </c>
      <c r="F227" s="55">
        <f>F185</f>
        <v>22.354285714285723</v>
      </c>
      <c r="G227" s="46">
        <f>F227/E227</f>
        <v>22.354285714285723</v>
      </c>
      <c r="H227" s="178">
        <f t="shared" ref="H227:H236" si="47">SQRT(12*32.2*G227^2/(4*$B$228*($B$227*56)*$B$226^2))</f>
        <v>0.56514558779663082</v>
      </c>
      <c r="I227" s="718"/>
      <c r="J227" s="178">
        <v>0.56514558779663082</v>
      </c>
      <c r="K227" s="544">
        <v>1</v>
      </c>
      <c r="L227" s="549">
        <f>J227*$L$225</f>
        <v>0.56514558779663082</v>
      </c>
      <c r="M227" s="5">
        <f>(B227*2.20462*25.4*12)</f>
        <v>3359.8408799999997</v>
      </c>
      <c r="N227" s="74">
        <f t="shared" ref="N227:N236" si="48">L227*B$226*SQRT(4*B$228*M$227/32.2)/12</f>
        <v>22.353756390467808</v>
      </c>
      <c r="O227" s="597">
        <f>K227*N227</f>
        <v>22.353756390467808</v>
      </c>
      <c r="P227" s="591">
        <f t="shared" ref="P227:P236" si="49">M157</f>
        <v>1.0210250511247443</v>
      </c>
      <c r="Q227" s="60">
        <f>P227*O227</f>
        <v>22.823745261407474</v>
      </c>
      <c r="R227" s="166">
        <f>Q227-O227</f>
        <v>0.46998887093966601</v>
      </c>
      <c r="S227" s="169">
        <f>R227/O227</f>
        <v>2.1025051124744332E-2</v>
      </c>
    </row>
    <row r="228" spans="2:19" ht="15" customHeight="1" x14ac:dyDescent="0.2">
      <c r="B228" s="271">
        <f t="shared" si="46"/>
        <v>85</v>
      </c>
      <c r="C228" s="77" t="s">
        <v>1</v>
      </c>
      <c r="D228" s="17"/>
      <c r="E228" s="70">
        <v>2</v>
      </c>
      <c r="F228" s="54">
        <f t="shared" ref="F228:F236" si="50">F186</f>
        <v>44.582857142857115</v>
      </c>
      <c r="G228" s="45">
        <f t="shared" ref="G228:G236" si="51">F228/E228</f>
        <v>22.291428571428558</v>
      </c>
      <c r="H228" s="179">
        <f t="shared" si="47"/>
        <v>0.56355647699249867</v>
      </c>
      <c r="I228" s="718"/>
      <c r="J228" s="179">
        <v>0.56355647699249867</v>
      </c>
      <c r="K228" s="545">
        <v>2</v>
      </c>
      <c r="L228" s="550">
        <f t="shared" ref="L228:L236" si="52">J228*$L$225</f>
        <v>0.56355647699249867</v>
      </c>
      <c r="N228" s="73">
        <f t="shared" si="48"/>
        <v>22.290900735995617</v>
      </c>
      <c r="O228" s="598">
        <f t="shared" ref="O228:O235" si="53">K228*N228</f>
        <v>44.581801471991234</v>
      </c>
      <c r="P228" s="591">
        <f t="shared" si="49"/>
        <v>1.0300115355037169</v>
      </c>
      <c r="Q228" s="59">
        <f t="shared" ref="Q228:Q236" si="54">P228*O228</f>
        <v>45.919769789687557</v>
      </c>
      <c r="R228" s="167">
        <f t="shared" ref="R228:R236" si="55">Q228-O228</f>
        <v>1.3379683176963226</v>
      </c>
      <c r="S228" s="170">
        <f t="shared" ref="S228:S236" si="56">R228/O228</f>
        <v>3.0011535503716887E-2</v>
      </c>
    </row>
    <row r="229" spans="2:19" ht="15" customHeight="1" x14ac:dyDescent="0.2">
      <c r="E229" s="69">
        <v>3</v>
      </c>
      <c r="F229" s="50">
        <f t="shared" si="50"/>
        <v>62.325714285714263</v>
      </c>
      <c r="G229" s="44">
        <f t="shared" si="51"/>
        <v>20.775238095238088</v>
      </c>
      <c r="H229" s="180">
        <f t="shared" si="47"/>
        <v>0.52522519820192981</v>
      </c>
      <c r="I229" s="718"/>
      <c r="J229" s="180">
        <v>0.52522519820192981</v>
      </c>
      <c r="K229" s="546">
        <v>3</v>
      </c>
      <c r="L229" s="551">
        <f t="shared" si="52"/>
        <v>0.52522519820192981</v>
      </c>
      <c r="N229" s="72">
        <f t="shared" si="48"/>
        <v>20.77474616145469</v>
      </c>
      <c r="O229" s="599">
        <f>K229*N229</f>
        <v>62.324238484364074</v>
      </c>
      <c r="P229" s="591">
        <f t="shared" si="49"/>
        <v>1.0389887228385442</v>
      </c>
      <c r="Q229" s="58">
        <f t="shared" si="54"/>
        <v>64.754180944754268</v>
      </c>
      <c r="R229" s="168">
        <f>Q229-O229</f>
        <v>2.429942460390194</v>
      </c>
      <c r="S229" s="171">
        <f t="shared" si="56"/>
        <v>3.8988722838544092E-2</v>
      </c>
    </row>
    <row r="230" spans="2:19" ht="15" customHeight="1" x14ac:dyDescent="0.2">
      <c r="E230" s="69">
        <v>4</v>
      </c>
      <c r="F230" s="50">
        <f t="shared" si="50"/>
        <v>77.282857142857154</v>
      </c>
      <c r="G230" s="44">
        <f t="shared" si="51"/>
        <v>19.320714285714288</v>
      </c>
      <c r="H230" s="180">
        <f t="shared" si="47"/>
        <v>0.48845293341995982</v>
      </c>
      <c r="I230" s="718"/>
      <c r="J230" s="180">
        <v>0.48845293341995982</v>
      </c>
      <c r="K230" s="546">
        <v>4</v>
      </c>
      <c r="L230" s="551">
        <f t="shared" si="52"/>
        <v>0.48845293341995982</v>
      </c>
      <c r="N230" s="72">
        <f t="shared" si="48"/>
        <v>19.320256793384573</v>
      </c>
      <c r="O230" s="599">
        <f t="shared" si="53"/>
        <v>77.281027173538291</v>
      </c>
      <c r="P230" s="591">
        <f t="shared" si="49"/>
        <v>1.0485230507597323</v>
      </c>
      <c r="Q230" s="58">
        <f t="shared" si="54"/>
        <v>81.030938377844137</v>
      </c>
      <c r="R230" s="168">
        <f>Q230-O230</f>
        <v>3.749911204305846</v>
      </c>
      <c r="S230" s="171">
        <f t="shared" si="56"/>
        <v>4.8523050759732254E-2</v>
      </c>
    </row>
    <row r="231" spans="2:19" ht="15" customHeight="1" x14ac:dyDescent="0.2">
      <c r="E231" s="70">
        <v>5</v>
      </c>
      <c r="F231" s="54">
        <f t="shared" si="50"/>
        <v>91.154285714285763</v>
      </c>
      <c r="G231" s="45">
        <f t="shared" si="51"/>
        <v>18.230857142857154</v>
      </c>
      <c r="H231" s="179">
        <f t="shared" si="47"/>
        <v>0.46089991904559602</v>
      </c>
      <c r="I231" s="718"/>
      <c r="J231" s="179">
        <v>0.46089991904559602</v>
      </c>
      <c r="K231" s="545">
        <v>5</v>
      </c>
      <c r="L231" s="550">
        <f t="shared" si="52"/>
        <v>0.46089991904559602</v>
      </c>
      <c r="N231" s="73">
        <f t="shared" si="48"/>
        <v>18.230425457093183</v>
      </c>
      <c r="O231" s="598">
        <f t="shared" si="53"/>
        <v>91.152127285465923</v>
      </c>
      <c r="P231" s="591">
        <f t="shared" si="49"/>
        <v>1.0580334754262788</v>
      </c>
      <c r="Q231" s="59">
        <f t="shared" si="54"/>
        <v>96.442002024340042</v>
      </c>
      <c r="R231" s="167">
        <f t="shared" si="55"/>
        <v>5.2898747388741185</v>
      </c>
      <c r="S231" s="170">
        <f t="shared" si="56"/>
        <v>5.8033475426278743E-2</v>
      </c>
    </row>
    <row r="232" spans="2:19" ht="15" customHeight="1" x14ac:dyDescent="0.2">
      <c r="E232" s="69">
        <v>10</v>
      </c>
      <c r="F232" s="50">
        <f t="shared" si="50"/>
        <v>150.71571428571431</v>
      </c>
      <c r="G232" s="44">
        <f t="shared" si="51"/>
        <v>15.071571428571431</v>
      </c>
      <c r="H232" s="180">
        <f t="shared" si="47"/>
        <v>0.38102904306066165</v>
      </c>
      <c r="I232" s="718"/>
      <c r="J232" s="180">
        <v>0.38102904306066165</v>
      </c>
      <c r="K232" s="547">
        <v>10</v>
      </c>
      <c r="L232" s="551">
        <f t="shared" si="52"/>
        <v>0.38102904306066165</v>
      </c>
      <c r="M232" s="41"/>
      <c r="N232" s="76">
        <f t="shared" si="48"/>
        <v>15.071214551065593</v>
      </c>
      <c r="O232" s="600">
        <f t="shared" si="53"/>
        <v>150.71214551065592</v>
      </c>
      <c r="P232" s="591">
        <f t="shared" si="49"/>
        <v>1.104036928559919</v>
      </c>
      <c r="Q232" s="58">
        <f t="shared" si="54"/>
        <v>166.39177422626014</v>
      </c>
      <c r="R232" s="168">
        <f t="shared" si="55"/>
        <v>15.679628715604224</v>
      </c>
      <c r="S232" s="171">
        <f t="shared" si="56"/>
        <v>0.10403692855991899</v>
      </c>
    </row>
    <row r="233" spans="2:19" ht="15" customHeight="1" x14ac:dyDescent="0.2">
      <c r="E233" s="69">
        <v>20</v>
      </c>
      <c r="F233" s="50">
        <f t="shared" si="50"/>
        <v>252.13714285714292</v>
      </c>
      <c r="G233" s="44">
        <f t="shared" si="51"/>
        <v>12.606857142857146</v>
      </c>
      <c r="H233" s="180">
        <f t="shared" si="47"/>
        <v>0.3187178414613821</v>
      </c>
      <c r="I233" s="718"/>
      <c r="J233" s="180">
        <v>0.3187178414613821</v>
      </c>
      <c r="K233" s="546">
        <v>20</v>
      </c>
      <c r="L233" s="551">
        <f t="shared" si="52"/>
        <v>0.3187178414613821</v>
      </c>
      <c r="N233" s="72">
        <f t="shared" si="48"/>
        <v>12.606558626955541</v>
      </c>
      <c r="O233" s="599">
        <f t="shared" si="53"/>
        <v>252.13117253911082</v>
      </c>
      <c r="P233" s="591">
        <f t="shared" si="49"/>
        <v>1.1500373946151754</v>
      </c>
      <c r="Q233" s="58">
        <f t="shared" si="54"/>
        <v>289.96027676814828</v>
      </c>
      <c r="R233" s="168">
        <f t="shared" si="55"/>
        <v>37.829104229037455</v>
      </c>
      <c r="S233" s="171">
        <f t="shared" si="56"/>
        <v>0.15003739461517543</v>
      </c>
    </row>
    <row r="234" spans="2:19" ht="15" customHeight="1" x14ac:dyDescent="0.2">
      <c r="E234" s="69">
        <v>30</v>
      </c>
      <c r="F234" s="50">
        <f t="shared" si="50"/>
        <v>340.1942857142858</v>
      </c>
      <c r="G234" s="44">
        <f t="shared" si="51"/>
        <v>11.339809523809526</v>
      </c>
      <c r="H234" s="180">
        <f t="shared" si="47"/>
        <v>0.28668522003991659</v>
      </c>
      <c r="I234" s="718"/>
      <c r="J234" s="180">
        <v>0.28668522003991659</v>
      </c>
      <c r="K234" s="546">
        <v>30</v>
      </c>
      <c r="L234" s="551">
        <f t="shared" si="52"/>
        <v>0.28668522003991659</v>
      </c>
      <c r="N234" s="72">
        <f t="shared" si="48"/>
        <v>11.33954101014068</v>
      </c>
      <c r="O234" s="599">
        <f t="shared" si="53"/>
        <v>340.18623030422037</v>
      </c>
      <c r="P234" s="591">
        <f t="shared" si="49"/>
        <v>1.1500025195686496</v>
      </c>
      <c r="Q234" s="58">
        <f t="shared" si="54"/>
        <v>391.21502197241432</v>
      </c>
      <c r="R234" s="168">
        <f t="shared" si="55"/>
        <v>51.028791668193946</v>
      </c>
      <c r="S234" s="171">
        <f t="shared" si="56"/>
        <v>0.15000251956864957</v>
      </c>
    </row>
    <row r="235" spans="2:19" ht="15" customHeight="1" x14ac:dyDescent="0.2">
      <c r="E235" s="69">
        <v>40</v>
      </c>
      <c r="F235" s="50">
        <f t="shared" si="50"/>
        <v>420.33714285714279</v>
      </c>
      <c r="G235" s="44">
        <f t="shared" si="51"/>
        <v>10.508428571428571</v>
      </c>
      <c r="H235" s="180">
        <f t="shared" si="47"/>
        <v>0.2656668219116331</v>
      </c>
      <c r="I235" s="718"/>
      <c r="J235" s="180">
        <v>0.2656668219116331</v>
      </c>
      <c r="K235" s="546">
        <v>40</v>
      </c>
      <c r="L235" s="551">
        <f t="shared" si="52"/>
        <v>0.2656668219116331</v>
      </c>
      <c r="N235" s="72">
        <f t="shared" si="48"/>
        <v>10.508179743906064</v>
      </c>
      <c r="O235" s="599">
        <f t="shared" si="53"/>
        <v>420.32718975624255</v>
      </c>
      <c r="P235" s="591">
        <f t="shared" si="49"/>
        <v>1.1499986405470439</v>
      </c>
      <c r="Q235" s="58">
        <f t="shared" si="54"/>
        <v>483.37569680463832</v>
      </c>
      <c r="R235" s="168">
        <f t="shared" si="55"/>
        <v>63.048507048395777</v>
      </c>
      <c r="S235" s="171">
        <f t="shared" si="56"/>
        <v>0.14999864054704398</v>
      </c>
    </row>
    <row r="236" spans="2:19" ht="15" customHeight="1" thickBot="1" x14ac:dyDescent="0.25">
      <c r="E236" s="70">
        <v>50</v>
      </c>
      <c r="F236" s="54">
        <f t="shared" si="50"/>
        <v>498.01571428571424</v>
      </c>
      <c r="G236" s="45">
        <f t="shared" si="51"/>
        <v>9.9603142857142846</v>
      </c>
      <c r="H236" s="179">
        <f t="shared" si="47"/>
        <v>0.25180977569960528</v>
      </c>
      <c r="I236" s="718"/>
      <c r="J236" s="179">
        <v>0.25180977569960528</v>
      </c>
      <c r="K236" s="555">
        <v>50</v>
      </c>
      <c r="L236" s="556">
        <f t="shared" si="52"/>
        <v>0.25180977569960528</v>
      </c>
      <c r="N236" s="557">
        <f t="shared" si="48"/>
        <v>9.9600784369087041</v>
      </c>
      <c r="O236" s="601">
        <f>K236*N236</f>
        <v>498.00392184543523</v>
      </c>
      <c r="P236" s="592">
        <f t="shared" si="49"/>
        <v>1.1499952669307625</v>
      </c>
      <c r="Q236" s="59">
        <f t="shared" si="54"/>
        <v>572.70215303520786</v>
      </c>
      <c r="R236" s="167">
        <f t="shared" si="55"/>
        <v>74.698231189772628</v>
      </c>
      <c r="S236" s="170">
        <f t="shared" si="56"/>
        <v>0.14999526693076246</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7">E157</f>
        <v>0.47</v>
      </c>
      <c r="S241" s="327">
        <f>R241/R227</f>
        <v>1.0000236794124757</v>
      </c>
    </row>
    <row r="242" spans="1:19" ht="15" customHeight="1" x14ac:dyDescent="0.2">
      <c r="E242" s="323"/>
      <c r="F242" s="324"/>
      <c r="G242" s="323"/>
      <c r="H242" s="325"/>
      <c r="I242" s="41"/>
      <c r="J242" s="325"/>
      <c r="K242" s="323"/>
      <c r="L242" s="325"/>
      <c r="M242" s="41"/>
      <c r="N242" s="324"/>
      <c r="O242" s="324"/>
      <c r="P242" s="326"/>
      <c r="Q242" s="324"/>
      <c r="R242" s="167">
        <f t="shared" si="57"/>
        <v>1.3380000000000001</v>
      </c>
      <c r="S242" s="327">
        <f t="shared" ref="S242:S250" si="58">R242/R228</f>
        <v>1.0000236794124782</v>
      </c>
    </row>
    <row r="243" spans="1:19" ht="15" customHeight="1" x14ac:dyDescent="0.2">
      <c r="R243" s="168">
        <f t="shared" si="57"/>
        <v>2.4300000000000002</v>
      </c>
      <c r="S243" s="327">
        <f t="shared" si="58"/>
        <v>1.0000236794124733</v>
      </c>
    </row>
    <row r="244" spans="1:19" ht="15" customHeight="1" x14ac:dyDescent="0.2">
      <c r="R244" s="168">
        <f t="shared" si="57"/>
        <v>3.75</v>
      </c>
      <c r="S244" s="327">
        <f t="shared" si="58"/>
        <v>1.0000236794124757</v>
      </c>
    </row>
    <row r="245" spans="1:19" ht="15" customHeight="1" x14ac:dyDescent="0.2">
      <c r="R245" s="167">
        <f t="shared" si="57"/>
        <v>5.29</v>
      </c>
      <c r="S245" s="327">
        <f t="shared" si="58"/>
        <v>1.0000236794124748</v>
      </c>
    </row>
    <row r="246" spans="1:19" ht="15" customHeight="1" x14ac:dyDescent="0.2">
      <c r="R246" s="168">
        <f t="shared" si="57"/>
        <v>15.68</v>
      </c>
      <c r="S246" s="327">
        <f t="shared" si="58"/>
        <v>1.0000236794124726</v>
      </c>
    </row>
    <row r="247" spans="1:19" ht="15" customHeight="1" x14ac:dyDescent="0.2">
      <c r="F247" s="41"/>
      <c r="G247" s="41"/>
      <c r="H247" s="41"/>
      <c r="I247" s="41"/>
      <c r="J247" s="41"/>
      <c r="K247" s="41"/>
      <c r="L247" s="41"/>
      <c r="M247" s="41"/>
      <c r="N247" s="41"/>
      <c r="O247" s="41"/>
      <c r="P247" s="41"/>
      <c r="R247" s="168">
        <f t="shared" si="57"/>
        <v>37.83</v>
      </c>
      <c r="S247" s="327">
        <f t="shared" si="58"/>
        <v>1.0000236794124735</v>
      </c>
    </row>
    <row r="248" spans="1:19" ht="15" customHeight="1" x14ac:dyDescent="0.2">
      <c r="B248" s="90"/>
      <c r="R248" s="168">
        <f t="shared" si="57"/>
        <v>51.03</v>
      </c>
      <c r="S248" s="327">
        <f t="shared" si="58"/>
        <v>1.0000236794124759</v>
      </c>
    </row>
    <row r="249" spans="1:19" ht="15" customHeight="1" x14ac:dyDescent="0.2">
      <c r="A249" s="90" t="s">
        <v>95</v>
      </c>
      <c r="B249" s="64" t="s">
        <v>178</v>
      </c>
      <c r="R249" s="168">
        <f t="shared" si="57"/>
        <v>63.05</v>
      </c>
      <c r="S249" s="327">
        <f t="shared" si="58"/>
        <v>1.0000236794124733</v>
      </c>
    </row>
    <row r="250" spans="1:19" ht="15" customHeight="1" x14ac:dyDescent="0.2">
      <c r="R250" s="167">
        <f t="shared" si="57"/>
        <v>74.7</v>
      </c>
      <c r="S250" s="327">
        <f t="shared" si="58"/>
        <v>1.0000236794124735</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5</v>
      </c>
      <c r="C257" s="1" t="s">
        <v>0</v>
      </c>
      <c r="D257" s="22"/>
      <c r="E257" s="71">
        <v>1</v>
      </c>
      <c r="F257" s="166">
        <f>G185</f>
        <v>0.47</v>
      </c>
      <c r="G257" s="49">
        <f>F257/E257</f>
        <v>0.47</v>
      </c>
      <c r="H257" s="178">
        <f>SQRT(12*32.2*G257^2/(4*$B$258*($B$257*56)*$B$256^2))</f>
        <v>1.188221487634787E-2</v>
      </c>
      <c r="I257" s="718"/>
      <c r="J257" s="178">
        <v>1.188221487634787E-2</v>
      </c>
      <c r="K257" s="544">
        <v>1</v>
      </c>
      <c r="L257" s="549">
        <f>J257*$L$255</f>
        <v>1.188221487634787E-2</v>
      </c>
      <c r="M257" s="5">
        <f>(B257*2.20462*25.4*12)</f>
        <v>3359.8408799999997</v>
      </c>
      <c r="N257" s="74">
        <f>L257*B$256*SQRT(4*B$258*M$257/32.2)/12</f>
        <v>0.46998887093966685</v>
      </c>
      <c r="O257" s="218">
        <f>K257*N257</f>
        <v>0.46998887093966685</v>
      </c>
      <c r="Q257" s="218">
        <f t="shared" ref="Q257:Q266" si="59">E157</f>
        <v>0.47</v>
      </c>
      <c r="R257" s="327">
        <f>Q257/O257</f>
        <v>1.0000236794124739</v>
      </c>
    </row>
    <row r="258" spans="2:18" ht="15" customHeight="1" x14ac:dyDescent="0.2">
      <c r="B258" s="271">
        <f>D207</f>
        <v>85</v>
      </c>
      <c r="C258" s="77" t="s">
        <v>1</v>
      </c>
      <c r="D258" s="17"/>
      <c r="E258" s="70">
        <v>2</v>
      </c>
      <c r="F258" s="167">
        <f t="shared" ref="F258:F266" si="60">G186</f>
        <v>1.3380000000000001</v>
      </c>
      <c r="G258" s="48">
        <f t="shared" ref="G258:G266" si="61">F258/E258</f>
        <v>0.66900000000000004</v>
      </c>
      <c r="H258" s="179">
        <f t="shared" ref="H258:H266" si="62">SQRT(12*32.2*G258^2/(4*$B$258*($B$257*56)*$B$256^2))</f>
        <v>1.6913195217610054E-2</v>
      </c>
      <c r="I258" s="718"/>
      <c r="J258" s="179">
        <v>1.6913195217610054E-2</v>
      </c>
      <c r="K258" s="545">
        <v>2</v>
      </c>
      <c r="L258" s="550">
        <f t="shared" ref="L258:L266" si="63">J258*$L$255</f>
        <v>1.6913195217610054E-2</v>
      </c>
      <c r="N258" s="73">
        <f t="shared" ref="N258:N266" si="64">L258*B$256*SQRT(4*B$258*M$257/32.2)/12</f>
        <v>0.66898415884816409</v>
      </c>
      <c r="O258" s="219">
        <f t="shared" ref="O258" si="65">K258*N258</f>
        <v>1.3379683176963282</v>
      </c>
      <c r="Q258" s="219">
        <f t="shared" si="59"/>
        <v>1.3380000000000001</v>
      </c>
      <c r="R258" s="327">
        <f t="shared" ref="R258:R266" si="66">Q258/O258</f>
        <v>1.0000236794124739</v>
      </c>
    </row>
    <row r="259" spans="2:18" ht="15" customHeight="1" x14ac:dyDescent="0.2">
      <c r="E259" s="69">
        <v>3</v>
      </c>
      <c r="F259" s="168">
        <f t="shared" si="60"/>
        <v>2.4300000000000002</v>
      </c>
      <c r="G259" s="47">
        <f t="shared" si="61"/>
        <v>0.81</v>
      </c>
      <c r="H259" s="180">
        <f t="shared" si="62"/>
        <v>2.0477859680514417E-2</v>
      </c>
      <c r="I259" s="718"/>
      <c r="J259" s="180">
        <v>2.0477859680514417E-2</v>
      </c>
      <c r="K259" s="546">
        <v>3</v>
      </c>
      <c r="L259" s="551">
        <f t="shared" si="63"/>
        <v>2.0477859680514417E-2</v>
      </c>
      <c r="N259" s="72">
        <f t="shared" si="64"/>
        <v>0.80998082013006423</v>
      </c>
      <c r="O259" s="220">
        <f>K259*N259</f>
        <v>2.4299424603901927</v>
      </c>
      <c r="Q259" s="220">
        <f t="shared" si="59"/>
        <v>2.4300000000000002</v>
      </c>
      <c r="R259" s="327">
        <f t="shared" si="66"/>
        <v>1.0000236794124739</v>
      </c>
    </row>
    <row r="260" spans="2:18" ht="15" customHeight="1" x14ac:dyDescent="0.2">
      <c r="E260" s="69">
        <v>4</v>
      </c>
      <c r="F260" s="168">
        <f t="shared" si="60"/>
        <v>3.75</v>
      </c>
      <c r="G260" s="47">
        <f t="shared" si="61"/>
        <v>0.9375</v>
      </c>
      <c r="H260" s="180">
        <f t="shared" si="62"/>
        <v>2.370122648207687E-2</v>
      </c>
      <c r="I260" s="718"/>
      <c r="J260" s="180">
        <v>2.370122648207687E-2</v>
      </c>
      <c r="K260" s="546">
        <v>4</v>
      </c>
      <c r="L260" s="551">
        <f t="shared" si="63"/>
        <v>2.370122648207687E-2</v>
      </c>
      <c r="N260" s="72">
        <f t="shared" si="64"/>
        <v>0.93747780107646317</v>
      </c>
      <c r="O260" s="220">
        <f t="shared" ref="O260:O266" si="67">K260*N260</f>
        <v>3.7499112043058527</v>
      </c>
      <c r="Q260" s="220">
        <f t="shared" si="59"/>
        <v>3.75</v>
      </c>
      <c r="R260" s="327">
        <f t="shared" si="66"/>
        <v>1.0000236794124739</v>
      </c>
    </row>
    <row r="261" spans="2:18" ht="15" customHeight="1" x14ac:dyDescent="0.2">
      <c r="E261" s="70">
        <v>5</v>
      </c>
      <c r="F261" s="167">
        <f t="shared" si="60"/>
        <v>5.29</v>
      </c>
      <c r="G261" s="48">
        <f t="shared" si="61"/>
        <v>1.0580000000000001</v>
      </c>
      <c r="H261" s="179">
        <f t="shared" si="62"/>
        <v>2.6747624125906481E-2</v>
      </c>
      <c r="I261" s="718"/>
      <c r="J261" s="179">
        <v>2.6747624125906481E-2</v>
      </c>
      <c r="K261" s="545">
        <v>5</v>
      </c>
      <c r="L261" s="550">
        <f t="shared" si="63"/>
        <v>2.6747624125906481E-2</v>
      </c>
      <c r="N261" s="73">
        <f t="shared" si="64"/>
        <v>1.0579749477748246</v>
      </c>
      <c r="O261" s="219">
        <f t="shared" si="67"/>
        <v>5.289874738874123</v>
      </c>
      <c r="Q261" s="219">
        <f t="shared" si="59"/>
        <v>5.29</v>
      </c>
      <c r="R261" s="327">
        <f t="shared" si="66"/>
        <v>1.0000236794124739</v>
      </c>
    </row>
    <row r="262" spans="2:18" ht="15" customHeight="1" x14ac:dyDescent="0.2">
      <c r="E262" s="69">
        <v>10</v>
      </c>
      <c r="F262" s="168">
        <f t="shared" si="60"/>
        <v>15.68</v>
      </c>
      <c r="G262" s="47">
        <f t="shared" si="61"/>
        <v>1.5680000000000001</v>
      </c>
      <c r="H262" s="180">
        <f t="shared" si="62"/>
        <v>3.9641091332156306E-2</v>
      </c>
      <c r="I262" s="718"/>
      <c r="J262" s="180">
        <v>3.9641091332156306E-2</v>
      </c>
      <c r="K262" s="547">
        <v>10</v>
      </c>
      <c r="L262" s="551">
        <f t="shared" si="63"/>
        <v>3.9641091332156306E-2</v>
      </c>
      <c r="M262" s="41"/>
      <c r="N262" s="76">
        <f t="shared" si="64"/>
        <v>1.5679628715604208</v>
      </c>
      <c r="O262" s="221">
        <f t="shared" si="67"/>
        <v>15.679628715604208</v>
      </c>
      <c r="Q262" s="221">
        <f t="shared" si="59"/>
        <v>15.68</v>
      </c>
      <c r="R262" s="327">
        <f t="shared" si="66"/>
        <v>1.0000236794124737</v>
      </c>
    </row>
    <row r="263" spans="2:18" ht="15" customHeight="1" x14ac:dyDescent="0.2">
      <c r="E263" s="69">
        <v>20</v>
      </c>
      <c r="F263" s="168">
        <f t="shared" si="60"/>
        <v>37.83</v>
      </c>
      <c r="G263" s="47">
        <f t="shared" si="61"/>
        <v>1.8915</v>
      </c>
      <c r="H263" s="180">
        <f t="shared" si="62"/>
        <v>4.7819594550238285E-2</v>
      </c>
      <c r="I263" s="718"/>
      <c r="J263" s="180">
        <v>4.7819594550238285E-2</v>
      </c>
      <c r="K263" s="546">
        <v>20</v>
      </c>
      <c r="L263" s="551">
        <f t="shared" si="63"/>
        <v>4.7819594550238285E-2</v>
      </c>
      <c r="N263" s="72">
        <f t="shared" si="64"/>
        <v>1.8914552114518717</v>
      </c>
      <c r="O263" s="220">
        <f t="shared" si="67"/>
        <v>37.829104229037434</v>
      </c>
      <c r="Q263" s="220">
        <f t="shared" si="59"/>
        <v>37.83</v>
      </c>
      <c r="R263" s="327">
        <f t="shared" si="66"/>
        <v>1.0000236794124742</v>
      </c>
    </row>
    <row r="264" spans="2:18" ht="15" customHeight="1" x14ac:dyDescent="0.2">
      <c r="E264" s="69">
        <v>30</v>
      </c>
      <c r="F264" s="168">
        <f t="shared" si="60"/>
        <v>51.03</v>
      </c>
      <c r="G264" s="47">
        <f t="shared" si="61"/>
        <v>1.7010000000000001</v>
      </c>
      <c r="H264" s="180">
        <f t="shared" si="62"/>
        <v>4.3003505329080274E-2</v>
      </c>
      <c r="I264" s="718"/>
      <c r="J264" s="180">
        <v>4.3003505329080274E-2</v>
      </c>
      <c r="K264" s="546">
        <v>30</v>
      </c>
      <c r="L264" s="551">
        <f t="shared" si="63"/>
        <v>4.3003505329080274E-2</v>
      </c>
      <c r="N264" s="72">
        <f t="shared" si="64"/>
        <v>1.7009597222731347</v>
      </c>
      <c r="O264" s="220">
        <f t="shared" si="67"/>
        <v>51.028791668194046</v>
      </c>
      <c r="Q264" s="220">
        <f t="shared" si="59"/>
        <v>51.03</v>
      </c>
      <c r="R264" s="327">
        <f t="shared" si="66"/>
        <v>1.0000236794124739</v>
      </c>
    </row>
    <row r="265" spans="2:18" ht="15" customHeight="1" x14ac:dyDescent="0.2">
      <c r="E265" s="69">
        <v>40</v>
      </c>
      <c r="F265" s="168">
        <f t="shared" si="60"/>
        <v>63.05</v>
      </c>
      <c r="G265" s="47">
        <f t="shared" si="61"/>
        <v>1.5762499999999999</v>
      </c>
      <c r="H265" s="180">
        <f t="shared" si="62"/>
        <v>3.9849662125198575E-2</v>
      </c>
      <c r="I265" s="718"/>
      <c r="J265" s="180">
        <v>3.9849662125198575E-2</v>
      </c>
      <c r="K265" s="546">
        <v>40</v>
      </c>
      <c r="L265" s="551">
        <f t="shared" si="63"/>
        <v>3.9849662125198575E-2</v>
      </c>
      <c r="N265" s="72">
        <f t="shared" si="64"/>
        <v>1.5762126762098934</v>
      </c>
      <c r="O265" s="220">
        <f t="shared" si="67"/>
        <v>63.048507048395734</v>
      </c>
      <c r="Q265" s="220">
        <f t="shared" si="59"/>
        <v>63.05</v>
      </c>
      <c r="R265" s="327">
        <f t="shared" si="66"/>
        <v>1.0000236794124739</v>
      </c>
    </row>
    <row r="266" spans="2:18" ht="15" customHeight="1" thickBot="1" x14ac:dyDescent="0.25">
      <c r="E266" s="70">
        <v>50</v>
      </c>
      <c r="F266" s="167">
        <f t="shared" si="60"/>
        <v>74.7</v>
      </c>
      <c r="G266" s="48">
        <f t="shared" si="61"/>
        <v>1.494</v>
      </c>
      <c r="H266" s="179">
        <f t="shared" si="62"/>
        <v>3.7770274521837698E-2</v>
      </c>
      <c r="I266" s="718"/>
      <c r="J266" s="179">
        <v>3.7770274521837698E-2</v>
      </c>
      <c r="K266" s="555">
        <v>50</v>
      </c>
      <c r="L266" s="556">
        <f t="shared" si="63"/>
        <v>3.7770274521837698E-2</v>
      </c>
      <c r="N266" s="557">
        <f t="shared" si="64"/>
        <v>1.4939646237954516</v>
      </c>
      <c r="O266" s="219">
        <f t="shared" si="67"/>
        <v>74.698231189772585</v>
      </c>
      <c r="Q266" s="219">
        <f t="shared" si="59"/>
        <v>74.7</v>
      </c>
      <c r="R266" s="327">
        <f t="shared" si="66"/>
        <v>1.0000236794124739</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1"/>
      <c r="C274" s="1"/>
      <c r="D274" s="1"/>
      <c r="E274" s="1"/>
      <c r="F274" s="1"/>
      <c r="G274" s="1"/>
      <c r="H274" s="1"/>
      <c r="I274" s="1"/>
      <c r="J274" s="1"/>
      <c r="K274" s="1"/>
      <c r="L274" s="1"/>
      <c r="M274" s="1"/>
      <c r="N274" s="1"/>
      <c r="O274" s="334" t="s">
        <v>195</v>
      </c>
      <c r="P274" s="687" t="s">
        <v>694</v>
      </c>
    </row>
    <row r="275" spans="1:16" ht="15" customHeight="1" x14ac:dyDescent="0.2">
      <c r="A275" s="35"/>
      <c r="B275" s="1"/>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 xml:space="preserve"> 3075s</v>
      </c>
      <c r="C277" s="1"/>
      <c r="D277" s="1"/>
      <c r="E277" s="1"/>
      <c r="F277" s="1"/>
      <c r="G277" s="1"/>
      <c r="H277" s="1"/>
      <c r="I277" s="1"/>
      <c r="J277" s="1"/>
      <c r="K277" s="276"/>
      <c r="L277" s="1"/>
      <c r="M277" s="1"/>
      <c r="N277" s="1"/>
      <c r="O277" s="330"/>
      <c r="P277" s="22"/>
    </row>
    <row r="278" spans="1:16" ht="15" customHeight="1" x14ac:dyDescent="0.2">
      <c r="A278" s="274"/>
      <c r="B278" s="275" t="str">
        <f>B10</f>
        <v xml:space="preserve"> 17xcf350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 xml:space="preserve"> Mike Kirsch</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6" ht="15" customHeight="1" x14ac:dyDescent="0.2">
      <c r="A280" s="274"/>
      <c r="B280" s="275" t="str">
        <f>B12</f>
        <v xml:space="preserve"> mx18-psh  phm bladder kit</v>
      </c>
      <c r="C280" s="1"/>
      <c r="E280" s="275" t="str">
        <f>E12</f>
        <v>16 flsprs</v>
      </c>
      <c r="F280" s="1"/>
      <c r="G280" s="1"/>
      <c r="H280" s="1"/>
      <c r="I280" s="1"/>
      <c r="J280" s="1"/>
      <c r="K280" s="276"/>
      <c r="L280" s="1"/>
      <c r="M280" s="1"/>
      <c r="N280" s="1"/>
      <c r="O280" s="330"/>
      <c r="P280" s="22"/>
    </row>
    <row r="281" spans="1:16" ht="15" customHeight="1" x14ac:dyDescent="0.2">
      <c r="A281" s="35"/>
      <c r="B281" s="275" t="str">
        <f>B13</f>
        <v>TRENDLINE</v>
      </c>
      <c r="C281" s="275" t="str">
        <f>C13</f>
        <v xml:space="preserve"> v8</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5</v>
      </c>
      <c r="D282" s="1"/>
      <c r="E282" s="1"/>
      <c r="F282" s="1"/>
      <c r="G282" s="1"/>
      <c r="H282" s="1"/>
      <c r="I282" s="441" t="s">
        <v>630</v>
      </c>
      <c r="J282" s="1"/>
      <c r="K282" s="1"/>
      <c r="L282" s="1"/>
      <c r="M282" s="1"/>
      <c r="N282" s="1"/>
      <c r="O282" s="1"/>
      <c r="P282" s="22"/>
    </row>
    <row r="283" spans="1:16" ht="15" customHeight="1" x14ac:dyDescent="0.2">
      <c r="A283" s="11"/>
      <c r="B283" s="442" t="s">
        <v>202</v>
      </c>
      <c r="C283" s="275"/>
      <c r="D283" s="1"/>
      <c r="E283" s="1"/>
      <c r="F283" s="1"/>
      <c r="G283" s="1"/>
      <c r="H283" s="1"/>
      <c r="I283" s="883" t="str">
        <f>IF($B$12="12sxf450-psh","calc gas force = 73c, linear = 77","calc gas force = 69c, linear = 73")</f>
        <v>calc gas force = 69c, linear = 73</v>
      </c>
      <c r="J283" s="445"/>
      <c r="K283" s="1"/>
      <c r="L283" s="1"/>
      <c r="M283" s="1"/>
      <c r="N283" s="1"/>
      <c r="O283" s="1"/>
      <c r="P283" s="22"/>
    </row>
    <row r="284" spans="1:16" ht="15" customHeight="1" x14ac:dyDescent="0.2">
      <c r="A284" s="35"/>
      <c r="B284" s="1"/>
      <c r="C284" s="1"/>
      <c r="D284" s="1"/>
      <c r="E284" s="1"/>
      <c r="F284" s="1"/>
      <c r="G284" s="1"/>
      <c r="H284" s="446" t="str">
        <f>J155</f>
        <v xml:space="preserve"> 1-6-15</v>
      </c>
      <c r="I284" s="1"/>
      <c r="J284" s="1"/>
      <c r="K284" s="1"/>
      <c r="L284" s="1"/>
      <c r="M284" s="1"/>
      <c r="N284" s="1"/>
      <c r="O284" s="1"/>
      <c r="P284" s="22"/>
    </row>
    <row r="285" spans="1:16" ht="15" customHeight="1" x14ac:dyDescent="0.2">
      <c r="A285" s="300" t="s">
        <v>151</v>
      </c>
      <c r="B285" s="448">
        <f>D206</f>
        <v>5</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162">
        <f t="shared" ref="C288:E297" si="68">C185</f>
        <v>40.824285714285722</v>
      </c>
      <c r="D288" s="162">
        <f t="shared" si="68"/>
        <v>111.82428571428572</v>
      </c>
      <c r="E288" s="162">
        <f t="shared" si="68"/>
        <v>22.824285714285722</v>
      </c>
      <c r="F288" s="162">
        <f>G288+J288</f>
        <v>36.354285714285723</v>
      </c>
      <c r="G288" s="162">
        <f t="shared" ref="G288:H297" si="69">F185</f>
        <v>22.354285714285723</v>
      </c>
      <c r="H288" s="887">
        <f t="shared" si="69"/>
        <v>0.47</v>
      </c>
      <c r="I288" s="888">
        <f>M185</f>
        <v>75</v>
      </c>
      <c r="J288" s="162">
        <f t="shared" ref="J288:J297" si="70">L185</f>
        <v>14</v>
      </c>
      <c r="K288" s="886">
        <f>H288/G288</f>
        <v>2.1025051124744367E-2</v>
      </c>
      <c r="L288" s="889">
        <f t="shared" ref="L288:L297" si="71">F205</f>
        <v>1.0321157904456688</v>
      </c>
      <c r="M288" s="889">
        <f t="shared" ref="M288:M297" si="72">H227</f>
        <v>0.56514558779663082</v>
      </c>
      <c r="N288" s="889">
        <f t="shared" ref="N288:N297" si="73">H257</f>
        <v>1.188221487634787E-2</v>
      </c>
      <c r="O288" s="40"/>
      <c r="P288" s="890">
        <f>L288</f>
        <v>1.0321157904456688</v>
      </c>
    </row>
    <row r="289" spans="1:22" ht="15" customHeight="1" x14ac:dyDescent="0.2">
      <c r="A289" s="35"/>
      <c r="B289" s="449">
        <v>2</v>
      </c>
      <c r="C289" s="127">
        <f t="shared" si="68"/>
        <v>63.92085714285713</v>
      </c>
      <c r="D289" s="127">
        <f t="shared" si="68"/>
        <v>134.92085714285713</v>
      </c>
      <c r="E289" s="127">
        <f t="shared" si="68"/>
        <v>45.920857142857116</v>
      </c>
      <c r="F289" s="127">
        <f t="shared" ref="F289:F297" si="74">G289+J289</f>
        <v>58.582857142857115</v>
      </c>
      <c r="G289" s="127">
        <f t="shared" si="69"/>
        <v>44.582857142857115</v>
      </c>
      <c r="H289" s="460">
        <f t="shared" si="69"/>
        <v>1.3380000000000001</v>
      </c>
      <c r="I289" s="461">
        <f t="shared" ref="I289:I297" si="75">M186</f>
        <v>75</v>
      </c>
      <c r="J289" s="127">
        <f t="shared" si="70"/>
        <v>14</v>
      </c>
      <c r="K289" s="885">
        <f t="shared" ref="K289:K297" si="76">H289/G289</f>
        <v>3.0011535503717015E-2</v>
      </c>
      <c r="L289" s="585">
        <f t="shared" si="71"/>
        <v>0.80802057943757655</v>
      </c>
      <c r="M289" s="585">
        <f t="shared" si="72"/>
        <v>0.56355647699249867</v>
      </c>
      <c r="N289" s="585">
        <f t="shared" si="73"/>
        <v>1.6913195217610054E-2</v>
      </c>
      <c r="O289" s="1"/>
      <c r="P289" s="469">
        <f t="shared" ref="P289:P297" si="77">L289</f>
        <v>0.80802057943757655</v>
      </c>
    </row>
    <row r="290" spans="1:22" ht="15" customHeight="1" x14ac:dyDescent="0.2">
      <c r="A290" s="35"/>
      <c r="B290" s="449">
        <v>3</v>
      </c>
      <c r="C290" s="463">
        <f t="shared" si="68"/>
        <v>82.755714285714248</v>
      </c>
      <c r="D290" s="463">
        <f t="shared" si="68"/>
        <v>153.75571428571425</v>
      </c>
      <c r="E290" s="463">
        <f t="shared" si="68"/>
        <v>64.755714285714262</v>
      </c>
      <c r="F290" s="463">
        <f t="shared" si="74"/>
        <v>76.32571428571427</v>
      </c>
      <c r="G290" s="463">
        <f t="shared" si="69"/>
        <v>62.325714285714263</v>
      </c>
      <c r="H290" s="464">
        <f t="shared" si="69"/>
        <v>2.4300000000000002</v>
      </c>
      <c r="I290" s="465">
        <f t="shared" si="75"/>
        <v>75</v>
      </c>
      <c r="J290" s="463">
        <f t="shared" si="70"/>
        <v>14</v>
      </c>
      <c r="K290" s="886">
        <f t="shared" si="76"/>
        <v>3.8988722838544071E-2</v>
      </c>
      <c r="L290" s="586">
        <f t="shared" si="71"/>
        <v>0.69740742117468724</v>
      </c>
      <c r="M290" s="586">
        <f t="shared" si="72"/>
        <v>0.52522519820192981</v>
      </c>
      <c r="N290" s="586">
        <f t="shared" si="73"/>
        <v>2.0477859680514417E-2</v>
      </c>
      <c r="O290" s="1"/>
      <c r="P290" s="470">
        <f t="shared" si="77"/>
        <v>0.69740742117468724</v>
      </c>
    </row>
    <row r="291" spans="1:22" ht="15" customHeight="1" x14ac:dyDescent="0.2">
      <c r="A291" s="35"/>
      <c r="B291" s="449">
        <v>4</v>
      </c>
      <c r="C291" s="463">
        <f t="shared" si="68"/>
        <v>99.032857142857154</v>
      </c>
      <c r="D291" s="463">
        <f t="shared" si="68"/>
        <v>170.03285714285715</v>
      </c>
      <c r="E291" s="463">
        <f t="shared" si="68"/>
        <v>81.032857142857154</v>
      </c>
      <c r="F291" s="463">
        <f t="shared" si="74"/>
        <v>91.282857142857154</v>
      </c>
      <c r="G291" s="463">
        <f t="shared" si="69"/>
        <v>77.282857142857154</v>
      </c>
      <c r="H291" s="464">
        <f t="shared" si="69"/>
        <v>3.75</v>
      </c>
      <c r="I291" s="465">
        <f t="shared" si="75"/>
        <v>75</v>
      </c>
      <c r="J291" s="463">
        <f t="shared" si="70"/>
        <v>14</v>
      </c>
      <c r="K291" s="886">
        <f t="shared" si="76"/>
        <v>4.8523050759732331E-2</v>
      </c>
      <c r="L291" s="586">
        <f t="shared" si="71"/>
        <v>0.6259348684349747</v>
      </c>
      <c r="M291" s="586">
        <f t="shared" si="72"/>
        <v>0.48845293341995982</v>
      </c>
      <c r="N291" s="586">
        <f t="shared" si="73"/>
        <v>2.370122648207687E-2</v>
      </c>
      <c r="O291" s="1"/>
      <c r="P291" s="470">
        <f t="shared" si="77"/>
        <v>0.6259348684349747</v>
      </c>
    </row>
    <row r="292" spans="1:22" ht="15" customHeight="1" x14ac:dyDescent="0.2">
      <c r="A292" s="35"/>
      <c r="B292" s="449">
        <v>5</v>
      </c>
      <c r="C292" s="127">
        <f t="shared" si="68"/>
        <v>114.44428571428577</v>
      </c>
      <c r="D292" s="127">
        <f t="shared" si="68"/>
        <v>185.44428571428577</v>
      </c>
      <c r="E292" s="127">
        <f t="shared" si="68"/>
        <v>96.444285714285769</v>
      </c>
      <c r="F292" s="127">
        <f t="shared" si="74"/>
        <v>105.15428571428576</v>
      </c>
      <c r="G292" s="127">
        <f t="shared" si="69"/>
        <v>91.154285714285763</v>
      </c>
      <c r="H292" s="460">
        <f t="shared" si="69"/>
        <v>5.29</v>
      </c>
      <c r="I292" s="461">
        <f t="shared" si="75"/>
        <v>75</v>
      </c>
      <c r="J292" s="127">
        <f t="shared" si="70"/>
        <v>14</v>
      </c>
      <c r="K292" s="885">
        <f t="shared" si="76"/>
        <v>5.8033475426278805E-2</v>
      </c>
      <c r="L292" s="585">
        <f t="shared" si="71"/>
        <v>0.57867395519748743</v>
      </c>
      <c r="M292" s="585">
        <f t="shared" si="72"/>
        <v>0.46089991904559602</v>
      </c>
      <c r="N292" s="585">
        <f t="shared" si="73"/>
        <v>2.6747624125906481E-2</v>
      </c>
      <c r="O292" s="1"/>
      <c r="P292" s="469">
        <f>L292</f>
        <v>0.57867395519748743</v>
      </c>
    </row>
    <row r="293" spans="1:22" ht="15" customHeight="1" x14ac:dyDescent="0.2">
      <c r="A293" s="35"/>
      <c r="B293" s="449">
        <v>10</v>
      </c>
      <c r="C293" s="463">
        <f t="shared" si="68"/>
        <v>184.39571428571432</v>
      </c>
      <c r="D293" s="463">
        <f t="shared" si="68"/>
        <v>255.39571428571432</v>
      </c>
      <c r="E293" s="463">
        <f t="shared" si="68"/>
        <v>166.39571428571432</v>
      </c>
      <c r="F293" s="463">
        <f t="shared" si="74"/>
        <v>164.71571428571431</v>
      </c>
      <c r="G293" s="463">
        <f t="shared" si="69"/>
        <v>150.71571428571431</v>
      </c>
      <c r="H293" s="464">
        <f t="shared" si="69"/>
        <v>15.68</v>
      </c>
      <c r="I293" s="465">
        <f t="shared" si="75"/>
        <v>75</v>
      </c>
      <c r="J293" s="463">
        <f t="shared" si="70"/>
        <v>14</v>
      </c>
      <c r="K293" s="886">
        <f t="shared" si="76"/>
        <v>0.10403692855991885</v>
      </c>
      <c r="L293" s="586">
        <f t="shared" si="71"/>
        <v>0.46618752802377988</v>
      </c>
      <c r="M293" s="586">
        <f t="shared" si="72"/>
        <v>0.38102904306066165</v>
      </c>
      <c r="N293" s="586">
        <f t="shared" si="73"/>
        <v>3.9641091332156306E-2</v>
      </c>
      <c r="O293" s="1"/>
      <c r="P293" s="470">
        <f t="shared" si="77"/>
        <v>0.46618752802377988</v>
      </c>
    </row>
    <row r="294" spans="1:22" ht="15" customHeight="1" x14ac:dyDescent="0.2">
      <c r="A294" s="35"/>
      <c r="B294" s="449">
        <v>20</v>
      </c>
      <c r="C294" s="463">
        <f t="shared" si="68"/>
        <v>307.9671428571429</v>
      </c>
      <c r="D294" s="463">
        <f t="shared" si="68"/>
        <v>378.9671428571429</v>
      </c>
      <c r="E294" s="463">
        <f t="shared" si="68"/>
        <v>289.9671428571429</v>
      </c>
      <c r="F294" s="463">
        <f t="shared" si="74"/>
        <v>266.13714285714292</v>
      </c>
      <c r="G294" s="463">
        <f t="shared" si="69"/>
        <v>252.13714285714292</v>
      </c>
      <c r="H294" s="464">
        <f t="shared" si="69"/>
        <v>37.83</v>
      </c>
      <c r="I294" s="465">
        <f t="shared" si="75"/>
        <v>75</v>
      </c>
      <c r="J294" s="463">
        <f t="shared" si="70"/>
        <v>14</v>
      </c>
      <c r="K294" s="886">
        <f t="shared" si="76"/>
        <v>0.15003739461517537</v>
      </c>
      <c r="L294" s="586">
        <f t="shared" si="71"/>
        <v>0.38929983160742193</v>
      </c>
      <c r="M294" s="586">
        <f t="shared" si="72"/>
        <v>0.3187178414613821</v>
      </c>
      <c r="N294" s="586">
        <f t="shared" si="73"/>
        <v>4.7819594550238285E-2</v>
      </c>
      <c r="O294" s="1"/>
      <c r="P294" s="470">
        <f t="shared" si="77"/>
        <v>0.38929983160742193</v>
      </c>
    </row>
    <row r="295" spans="1:22" ht="15" customHeight="1" x14ac:dyDescent="0.2">
      <c r="A295" s="35"/>
      <c r="B295" s="449">
        <v>30</v>
      </c>
      <c r="C295" s="463">
        <f t="shared" si="68"/>
        <v>409.22428571428577</v>
      </c>
      <c r="D295" s="463">
        <f t="shared" si="68"/>
        <v>480.22428571428577</v>
      </c>
      <c r="E295" s="463">
        <f t="shared" si="68"/>
        <v>391.22428571428577</v>
      </c>
      <c r="F295" s="463">
        <f t="shared" si="74"/>
        <v>354.1942857142858</v>
      </c>
      <c r="G295" s="463">
        <f t="shared" si="69"/>
        <v>340.1942857142858</v>
      </c>
      <c r="H295" s="464">
        <f t="shared" si="69"/>
        <v>51.03</v>
      </c>
      <c r="I295" s="465">
        <f t="shared" si="75"/>
        <v>75</v>
      </c>
      <c r="J295" s="463">
        <f t="shared" si="70"/>
        <v>14</v>
      </c>
      <c r="K295" s="886">
        <f t="shared" si="76"/>
        <v>0.15000251956864982</v>
      </c>
      <c r="L295" s="586">
        <f t="shared" si="71"/>
        <v>0.34486567634075765</v>
      </c>
      <c r="M295" s="586">
        <f t="shared" si="72"/>
        <v>0.28668522003991659</v>
      </c>
      <c r="N295" s="586">
        <f t="shared" si="73"/>
        <v>4.3003505329080274E-2</v>
      </c>
      <c r="O295" s="1"/>
      <c r="P295" s="470">
        <f t="shared" si="77"/>
        <v>0.34486567634075765</v>
      </c>
      <c r="R295" s="491" t="s">
        <v>531</v>
      </c>
    </row>
    <row r="296" spans="1:22" ht="15" customHeight="1" x14ac:dyDescent="0.2">
      <c r="A296" s="35"/>
      <c r="B296" s="449">
        <v>40</v>
      </c>
      <c r="C296" s="463">
        <f t="shared" si="68"/>
        <v>502.38714285714286</v>
      </c>
      <c r="D296" s="463">
        <f t="shared" si="68"/>
        <v>573.38714285714286</v>
      </c>
      <c r="E296" s="463">
        <f t="shared" si="68"/>
        <v>483.38714285714281</v>
      </c>
      <c r="F296" s="463">
        <f t="shared" si="74"/>
        <v>434.33714285714279</v>
      </c>
      <c r="G296" s="463">
        <f t="shared" si="69"/>
        <v>420.33714285714279</v>
      </c>
      <c r="H296" s="464">
        <f t="shared" si="69"/>
        <v>63.05</v>
      </c>
      <c r="I296" s="465">
        <f t="shared" si="75"/>
        <v>76</v>
      </c>
      <c r="J296" s="463">
        <f t="shared" si="70"/>
        <v>14</v>
      </c>
      <c r="K296" s="886">
        <f t="shared" si="76"/>
        <v>0.1499986405470439</v>
      </c>
      <c r="L296" s="586">
        <f t="shared" si="71"/>
        <v>0.31753262426236023</v>
      </c>
      <c r="M296" s="586">
        <f t="shared" si="72"/>
        <v>0.2656668219116331</v>
      </c>
      <c r="N296" s="586">
        <f t="shared" si="73"/>
        <v>3.9849662125198575E-2</v>
      </c>
      <c r="O296" s="1"/>
      <c r="P296" s="470">
        <f t="shared" si="77"/>
        <v>0.31753262426236023</v>
      </c>
      <c r="R296" s="491" t="s">
        <v>532</v>
      </c>
    </row>
    <row r="297" spans="1:22" ht="15" customHeight="1" x14ac:dyDescent="0.2">
      <c r="A297" s="35"/>
      <c r="B297" s="449">
        <v>50</v>
      </c>
      <c r="C297" s="127">
        <f t="shared" si="68"/>
        <v>592.71571428571428</v>
      </c>
      <c r="D297" s="127">
        <f t="shared" si="68"/>
        <v>663.71571428571428</v>
      </c>
      <c r="E297" s="127">
        <f t="shared" si="68"/>
        <v>572.71571428571428</v>
      </c>
      <c r="F297" s="127">
        <f t="shared" si="74"/>
        <v>512.01571428571424</v>
      </c>
      <c r="G297" s="127">
        <f t="shared" si="69"/>
        <v>498.01571428571424</v>
      </c>
      <c r="H297" s="460">
        <f t="shared" si="69"/>
        <v>74.7</v>
      </c>
      <c r="I297" s="461">
        <f t="shared" si="75"/>
        <v>77</v>
      </c>
      <c r="J297" s="127">
        <f t="shared" si="70"/>
        <v>14</v>
      </c>
      <c r="K297" s="885">
        <f t="shared" si="76"/>
        <v>0.1499952669307624</v>
      </c>
      <c r="L297" s="585">
        <f t="shared" si="71"/>
        <v>0.2996996700645263</v>
      </c>
      <c r="M297" s="585">
        <f t="shared" si="72"/>
        <v>0.25180977569960528</v>
      </c>
      <c r="N297" s="585">
        <f t="shared" si="73"/>
        <v>3.7770274521837698E-2</v>
      </c>
      <c r="O297" s="1"/>
      <c r="P297" s="469">
        <f t="shared" si="77"/>
        <v>0.2996996700645263</v>
      </c>
      <c r="R297" s="491" t="s">
        <v>533</v>
      </c>
    </row>
    <row r="298" spans="1:22" ht="15" customHeight="1" x14ac:dyDescent="0.2">
      <c r="A298" s="35"/>
      <c r="B298" s="163"/>
      <c r="C298" s="162"/>
      <c r="D298" s="162"/>
      <c r="E298" s="162"/>
      <c r="F298" s="162"/>
      <c r="G298" s="162"/>
      <c r="H298" s="887"/>
      <c r="I298" s="888"/>
      <c r="J298" s="162"/>
      <c r="K298" s="886"/>
      <c r="L298" s="889"/>
      <c r="M298" s="889"/>
      <c r="N298" s="889"/>
      <c r="O298" s="40"/>
      <c r="P298" s="890"/>
      <c r="R298" s="491" t="s">
        <v>534</v>
      </c>
    </row>
    <row r="299" spans="1:22" ht="15" customHeight="1" x14ac:dyDescent="0.2">
      <c r="A299" s="35"/>
      <c r="B299" s="1"/>
      <c r="C299" s="1"/>
      <c r="D299" s="1"/>
      <c r="E299" s="1"/>
      <c r="F299" s="1"/>
      <c r="G299" s="689" t="s">
        <v>526</v>
      </c>
      <c r="H299" s="28" t="s">
        <v>693</v>
      </c>
      <c r="J299" s="1"/>
      <c r="K299" s="28" t="s">
        <v>654</v>
      </c>
      <c r="L299" s="1"/>
      <c r="P299" s="22"/>
      <c r="R299" s="491" t="s">
        <v>535</v>
      </c>
    </row>
    <row r="300" spans="1:22" ht="15" customHeight="1" x14ac:dyDescent="0.2">
      <c r="A300" s="35"/>
      <c r="B300" s="1"/>
      <c r="C300" s="1"/>
      <c r="D300" s="893" t="s">
        <v>539</v>
      </c>
      <c r="J300" s="767"/>
      <c r="K300" s="28" t="s">
        <v>648</v>
      </c>
      <c r="P300" s="22"/>
      <c r="R300" s="491" t="s">
        <v>584</v>
      </c>
    </row>
    <row r="301" spans="1:22" ht="15" customHeight="1" x14ac:dyDescent="0.2">
      <c r="A301" s="35"/>
      <c r="B301" s="1"/>
      <c r="C301" s="891"/>
      <c r="D301" s="891"/>
      <c r="E301" s="891"/>
      <c r="F301" s="891"/>
      <c r="G301" s="57"/>
      <c r="H301" s="891"/>
      <c r="I301" s="891"/>
      <c r="J301" s="891"/>
      <c r="K301" s="28" t="s">
        <v>656</v>
      </c>
      <c r="P301" s="892"/>
      <c r="R301" s="491" t="s">
        <v>687</v>
      </c>
    </row>
    <row r="302" spans="1:22" ht="15" customHeight="1" x14ac:dyDescent="0.2">
      <c r="A302" s="35"/>
      <c r="B302" s="1"/>
      <c r="C302" s="891"/>
      <c r="D302" s="891"/>
      <c r="E302" s="891"/>
      <c r="F302" s="891"/>
      <c r="G302" s="57"/>
      <c r="H302" s="891"/>
      <c r="I302" s="891"/>
      <c r="J302" s="891"/>
      <c r="K302" s="331" t="s">
        <v>655</v>
      </c>
      <c r="P302" s="892"/>
      <c r="S302" s="912" t="s">
        <v>688</v>
      </c>
    </row>
    <row r="303" spans="1:22" ht="15" customHeight="1" x14ac:dyDescent="0.2">
      <c r="A303" s="35"/>
      <c r="D303" s="891"/>
      <c r="E303" s="891"/>
      <c r="F303" s="891"/>
      <c r="G303" s="896" t="s">
        <v>639</v>
      </c>
      <c r="H303" s="897"/>
      <c r="I303" s="896" t="s">
        <v>640</v>
      </c>
      <c r="J303" s="896" t="s">
        <v>333</v>
      </c>
      <c r="K303" s="902" t="s">
        <v>146</v>
      </c>
      <c r="L303" s="902" t="s">
        <v>646</v>
      </c>
      <c r="P303" s="892"/>
      <c r="R303" s="911" t="s">
        <v>689</v>
      </c>
      <c r="U303" s="1"/>
      <c r="V303" s="1"/>
    </row>
    <row r="304" spans="1:22" ht="15" customHeight="1" x14ac:dyDescent="0.2">
      <c r="A304" s="35"/>
      <c r="B304" s="1"/>
      <c r="C304" s="891"/>
      <c r="D304" s="891"/>
      <c r="E304" s="891"/>
      <c r="F304" s="891"/>
      <c r="G304" s="898" t="s">
        <v>641</v>
      </c>
      <c r="H304" s="899"/>
      <c r="I304" s="898" t="s">
        <v>640</v>
      </c>
      <c r="J304" s="898" t="s">
        <v>333</v>
      </c>
      <c r="K304" s="903" t="s">
        <v>266</v>
      </c>
      <c r="L304" s="903" t="s">
        <v>647</v>
      </c>
      <c r="P304" s="892"/>
      <c r="S304" s="913" t="s">
        <v>690</v>
      </c>
      <c r="T304" s="1"/>
      <c r="U304" s="1"/>
      <c r="V304" s="1"/>
    </row>
    <row r="305" spans="1:22" ht="15" customHeight="1" x14ac:dyDescent="0.2">
      <c r="A305" s="35"/>
      <c r="B305" s="1"/>
      <c r="C305" s="891"/>
      <c r="D305" s="891"/>
      <c r="E305" s="891"/>
      <c r="F305" s="891"/>
      <c r="G305" s="900" t="s">
        <v>642</v>
      </c>
      <c r="H305" s="901"/>
      <c r="I305" s="900" t="s">
        <v>640</v>
      </c>
      <c r="J305" s="900" t="s">
        <v>334</v>
      </c>
      <c r="K305" s="902" t="s">
        <v>146</v>
      </c>
      <c r="L305" s="902" t="s">
        <v>646</v>
      </c>
      <c r="P305" s="892"/>
      <c r="S305" s="913" t="s">
        <v>691</v>
      </c>
      <c r="T305" s="1"/>
      <c r="U305" s="1"/>
      <c r="V305" s="1"/>
    </row>
    <row r="306" spans="1:22" ht="15" customHeight="1" x14ac:dyDescent="0.2">
      <c r="A306" s="35"/>
      <c r="B306" s="1"/>
      <c r="C306" s="891"/>
      <c r="D306" s="891"/>
      <c r="E306" s="891"/>
      <c r="F306" s="891"/>
      <c r="G306" s="900" t="s">
        <v>643</v>
      </c>
      <c r="H306" s="901"/>
      <c r="I306" s="900" t="s">
        <v>640</v>
      </c>
      <c r="J306" s="900" t="s">
        <v>334</v>
      </c>
      <c r="K306" s="903" t="s">
        <v>266</v>
      </c>
      <c r="L306" s="903" t="s">
        <v>647</v>
      </c>
      <c r="P306" s="892"/>
      <c r="S306" s="913" t="s">
        <v>692</v>
      </c>
      <c r="T306" s="1"/>
      <c r="U306" s="1"/>
      <c r="V306" s="1"/>
    </row>
    <row r="307" spans="1:22" ht="15" customHeight="1" x14ac:dyDescent="0.2">
      <c r="A307" s="35"/>
      <c r="B307" s="1"/>
      <c r="C307" s="891"/>
      <c r="D307" s="891"/>
      <c r="E307" s="891"/>
      <c r="F307" s="891"/>
      <c r="G307" s="900" t="s">
        <v>637</v>
      </c>
      <c r="H307" s="901"/>
      <c r="I307" s="901"/>
      <c r="J307" s="901"/>
      <c r="P307" s="892"/>
      <c r="T307" s="1"/>
      <c r="U307" s="1"/>
      <c r="V307" s="1"/>
    </row>
    <row r="308" spans="1:22" ht="15" customHeight="1" x14ac:dyDescent="0.2">
      <c r="A308" s="35"/>
      <c r="B308" s="1"/>
      <c r="C308" s="891"/>
      <c r="D308" s="891"/>
      <c r="E308" s="891"/>
      <c r="F308" s="891"/>
      <c r="G308" s="898" t="s">
        <v>644</v>
      </c>
      <c r="H308" s="899"/>
      <c r="I308" s="898" t="s">
        <v>640</v>
      </c>
      <c r="J308" s="898" t="s">
        <v>333</v>
      </c>
      <c r="K308" s="898" t="s">
        <v>266</v>
      </c>
      <c r="L308" s="903" t="s">
        <v>647</v>
      </c>
      <c r="M308" s="903" t="s">
        <v>649</v>
      </c>
      <c r="P308" s="892"/>
      <c r="U308" s="1"/>
      <c r="V308" s="1"/>
    </row>
    <row r="309" spans="1:22" ht="15" customHeight="1" x14ac:dyDescent="0.2">
      <c r="A309" s="35"/>
      <c r="B309" s="1"/>
      <c r="C309" s="891"/>
      <c r="D309" s="891"/>
      <c r="E309" s="891"/>
      <c r="F309" s="891"/>
      <c r="G309" s="898"/>
      <c r="H309" s="899"/>
      <c r="I309" s="898"/>
      <c r="J309" s="898"/>
      <c r="K309" s="898" t="s">
        <v>358</v>
      </c>
      <c r="L309" s="898" t="s">
        <v>651</v>
      </c>
      <c r="M309" t="s">
        <v>650</v>
      </c>
      <c r="P309" s="892"/>
      <c r="R309" s="491"/>
      <c r="T309" s="1"/>
      <c r="U309" s="1"/>
      <c r="V309" s="1"/>
    </row>
    <row r="310" spans="1:22" ht="15" customHeight="1" x14ac:dyDescent="0.2">
      <c r="A310" s="35"/>
      <c r="B310" s="1"/>
      <c r="C310" s="891"/>
      <c r="D310" s="891"/>
      <c r="E310" s="56" t="s">
        <v>638</v>
      </c>
      <c r="G310" s="898" t="s">
        <v>645</v>
      </c>
      <c r="H310" s="899"/>
      <c r="I310" s="898" t="s">
        <v>640</v>
      </c>
      <c r="J310" s="898" t="s">
        <v>334</v>
      </c>
      <c r="K310" s="898" t="s">
        <v>266</v>
      </c>
      <c r="L310" s="903" t="s">
        <v>647</v>
      </c>
      <c r="M310" s="903" t="s">
        <v>649</v>
      </c>
      <c r="P310" s="892"/>
      <c r="R310" s="28" t="s">
        <v>633</v>
      </c>
      <c r="S310" s="491" t="s">
        <v>635</v>
      </c>
      <c r="T310" s="1"/>
      <c r="U310" s="1"/>
      <c r="V310" s="1"/>
    </row>
    <row r="311" spans="1:22" ht="15" customHeight="1" x14ac:dyDescent="0.2">
      <c r="A311" s="35"/>
      <c r="B311" s="1"/>
      <c r="C311" s="891"/>
      <c r="D311" s="891"/>
      <c r="E311" s="56"/>
      <c r="G311" s="898"/>
      <c r="H311" s="899"/>
      <c r="I311" s="898"/>
      <c r="J311" s="898"/>
      <c r="K311" s="898" t="s">
        <v>358</v>
      </c>
      <c r="L311" s="898" t="s">
        <v>651</v>
      </c>
      <c r="M311" t="s">
        <v>650</v>
      </c>
      <c r="P311" s="892"/>
      <c r="R311" s="28"/>
      <c r="S311" s="491"/>
      <c r="T311" s="1"/>
      <c r="U311" s="1"/>
      <c r="V311" s="1"/>
    </row>
    <row r="312" spans="1:22" ht="15" customHeight="1" x14ac:dyDescent="0.2">
      <c r="A312" s="35"/>
      <c r="B312" s="1"/>
      <c r="C312" s="891"/>
      <c r="D312" s="891"/>
      <c r="E312" s="56" t="s">
        <v>638</v>
      </c>
      <c r="G312" s="898" t="s">
        <v>652</v>
      </c>
      <c r="H312" s="899"/>
      <c r="I312" s="898" t="s">
        <v>640</v>
      </c>
      <c r="J312" s="898" t="s">
        <v>334</v>
      </c>
      <c r="K312" s="898" t="s">
        <v>146</v>
      </c>
      <c r="L312" s="898" t="s">
        <v>646</v>
      </c>
      <c r="M312" s="898" t="s">
        <v>653</v>
      </c>
      <c r="P312" s="892"/>
      <c r="R312" s="28" t="s">
        <v>633</v>
      </c>
      <c r="S312" s="491" t="s">
        <v>634</v>
      </c>
      <c r="T312" s="1"/>
      <c r="U312" s="1"/>
      <c r="V312" s="1"/>
    </row>
    <row r="313" spans="1:22" ht="15" customHeight="1" x14ac:dyDescent="0.2">
      <c r="A313" s="35"/>
      <c r="B313" s="1"/>
      <c r="C313" s="1"/>
      <c r="D313" s="891"/>
      <c r="E313" s="891"/>
      <c r="F313" s="891"/>
      <c r="G313" s="891"/>
      <c r="H313" s="891"/>
      <c r="I313" s="893"/>
      <c r="J313" s="891"/>
      <c r="K313" s="891"/>
      <c r="L313" s="891"/>
      <c r="P313" s="892"/>
      <c r="R313" s="1"/>
      <c r="S313" s="491"/>
      <c r="T313" s="1"/>
      <c r="U313" s="1"/>
      <c r="V313" s="1"/>
    </row>
    <row r="314" spans="1:22" ht="15" customHeight="1" x14ac:dyDescent="0.2">
      <c r="A314" s="36"/>
      <c r="B314" s="24"/>
      <c r="C314" s="24"/>
      <c r="D314" s="24"/>
      <c r="E314" s="894"/>
      <c r="F314" s="894"/>
      <c r="G314" s="894"/>
      <c r="H314" s="894"/>
      <c r="I314" s="894"/>
      <c r="J314" s="894"/>
      <c r="K314" s="894"/>
      <c r="L314" s="894"/>
      <c r="M314" s="894"/>
      <c r="N314" s="894"/>
      <c r="O314" s="894"/>
      <c r="P314" s="895"/>
    </row>
    <row r="315" spans="1:22" ht="15" customHeight="1" x14ac:dyDescent="0.2">
      <c r="E315" s="57"/>
      <c r="F315" s="57"/>
      <c r="G315" s="57"/>
      <c r="H315" s="57"/>
      <c r="I315" s="57"/>
      <c r="J315" s="57"/>
      <c r="K315" s="57"/>
      <c r="L315" s="57"/>
      <c r="M315" s="57"/>
      <c r="N315" s="57"/>
      <c r="O315" s="57"/>
      <c r="P315" s="57"/>
    </row>
    <row r="316" spans="1:22" ht="15" customHeight="1" x14ac:dyDescent="0.2"/>
    <row r="317" spans="1:22" ht="15" customHeight="1" x14ac:dyDescent="0.2"/>
    <row r="318" spans="1:22" ht="15" customHeight="1" x14ac:dyDescent="0.2"/>
    <row r="319" spans="1:22" ht="15" customHeight="1" x14ac:dyDescent="0.2"/>
    <row r="320" spans="1:22"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row r="327" spans="1:21" ht="15" customHeight="1" x14ac:dyDescent="0.2"/>
    <row r="328" spans="1:21" ht="15" customHeight="1" x14ac:dyDescent="0.2"/>
    <row r="329" spans="1:21" ht="15" customHeight="1" x14ac:dyDescent="0.2"/>
    <row r="330" spans="1:21" ht="15" customHeight="1" x14ac:dyDescent="0.2">
      <c r="A330" s="24"/>
      <c r="B330" s="24"/>
      <c r="C330" s="24"/>
      <c r="D330" s="24"/>
      <c r="E330" s="24"/>
      <c r="F330" s="24"/>
      <c r="G330" s="24"/>
      <c r="H330" s="24"/>
      <c r="I330" s="24"/>
      <c r="J330" s="24"/>
      <c r="K330" s="24"/>
      <c r="L330" s="24"/>
      <c r="M330" s="24"/>
      <c r="N330" s="24"/>
      <c r="O330" s="24"/>
      <c r="P330" s="24"/>
      <c r="Q330" s="24"/>
      <c r="R330" s="24"/>
      <c r="S330" s="24"/>
      <c r="T330" s="24"/>
      <c r="U330" s="24"/>
    </row>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sheetData>
  <pageMargins left="0.45" right="0.45" top="0.5" bottom="0.5" header="0.3" footer="0.3"/>
  <pageSetup scale="7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79998168889431442"/>
    <pageSetUpPr fitToPage="1"/>
  </sheetPr>
  <dimension ref="A1:AI340"/>
  <sheetViews>
    <sheetView showGridLines="0" zoomScale="86" zoomScaleNormal="86"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2" max="23" width="9.42578125" customWidth="1"/>
    <col min="26" max="27" width="9.42578125" customWidth="1"/>
    <col min="29" max="29" width="9.140625" customWidth="1"/>
  </cols>
  <sheetData>
    <row r="1" spans="1:29" ht="26.25" customHeight="1" x14ac:dyDescent="0.25">
      <c r="A1" s="384"/>
      <c r="C1" s="587" t="s">
        <v>427</v>
      </c>
      <c r="P1" t="s">
        <v>26</v>
      </c>
      <c r="Q1" s="28" t="s">
        <v>362</v>
      </c>
    </row>
    <row r="2" spans="1:29" ht="15" customHeight="1" x14ac:dyDescent="0.2">
      <c r="A2" s="385" t="s">
        <v>306</v>
      </c>
      <c r="B2" s="331" t="s">
        <v>185</v>
      </c>
      <c r="C2" s="332"/>
      <c r="D2" s="332"/>
      <c r="E2" s="332"/>
      <c r="F2" s="332"/>
    </row>
    <row r="3" spans="1:29" ht="15" customHeight="1" x14ac:dyDescent="0.2">
      <c r="A3" s="386"/>
      <c r="B3" s="348" t="s">
        <v>292</v>
      </c>
      <c r="C3" s="332"/>
      <c r="D3" s="332"/>
      <c r="E3" s="332"/>
      <c r="F3" s="332"/>
    </row>
    <row r="4" spans="1:29" ht="15" customHeight="1" x14ac:dyDescent="0.2">
      <c r="A4" s="386"/>
      <c r="B4" s="348" t="s">
        <v>307</v>
      </c>
      <c r="C4" s="332"/>
      <c r="D4" s="332"/>
      <c r="E4" s="332"/>
      <c r="F4" s="332"/>
      <c r="G4" s="332"/>
    </row>
    <row r="5" spans="1:29" ht="15" customHeight="1" x14ac:dyDescent="0.2">
      <c r="A5" s="385" t="s">
        <v>335</v>
      </c>
      <c r="B5" s="331" t="s">
        <v>186</v>
      </c>
      <c r="C5" s="332"/>
      <c r="D5" s="332"/>
      <c r="E5" s="332"/>
      <c r="F5" s="332"/>
      <c r="G5" s="332"/>
    </row>
    <row r="6" spans="1:29" ht="15" customHeight="1" x14ac:dyDescent="0.2">
      <c r="A6" s="386" t="s">
        <v>335</v>
      </c>
      <c r="B6" s="331" t="s">
        <v>196</v>
      </c>
      <c r="C6" s="332"/>
      <c r="D6" s="332"/>
      <c r="E6" s="332"/>
      <c r="F6" s="332"/>
    </row>
    <row r="7" spans="1:29" ht="15" customHeight="1" x14ac:dyDescent="0.2">
      <c r="A7" s="386"/>
      <c r="B7" s="332"/>
      <c r="C7" s="332"/>
      <c r="D7" s="332"/>
      <c r="E7" s="332"/>
      <c r="F7" s="332"/>
      <c r="P7" s="210" t="s">
        <v>106</v>
      </c>
      <c r="Q7" s="210" t="s">
        <v>107</v>
      </c>
    </row>
    <row r="8" spans="1:29" ht="15" customHeight="1" thickBot="1" x14ac:dyDescent="0.25">
      <c r="A8" s="386"/>
      <c r="B8" s="471" t="s">
        <v>4</v>
      </c>
      <c r="C8" s="472"/>
      <c r="D8" s="472"/>
      <c r="E8" s="7"/>
      <c r="F8" s="7"/>
      <c r="G8" s="7"/>
      <c r="H8" s="7"/>
      <c r="I8" s="7"/>
      <c r="J8" s="7"/>
      <c r="K8" s="7"/>
      <c r="L8" s="8"/>
      <c r="O8" s="212" t="s">
        <v>108</v>
      </c>
      <c r="P8">
        <v>77</v>
      </c>
      <c r="Q8">
        <v>73</v>
      </c>
      <c r="Y8" s="349"/>
      <c r="Z8" s="349"/>
      <c r="AA8" s="349"/>
      <c r="AB8" s="349"/>
      <c r="AC8" s="349"/>
    </row>
    <row r="9" spans="1:29" ht="15" customHeight="1" x14ac:dyDescent="0.2">
      <c r="A9" s="386" t="s">
        <v>182</v>
      </c>
      <c r="B9" s="473" t="s">
        <v>347</v>
      </c>
      <c r="C9" s="474"/>
      <c r="D9" s="475"/>
      <c r="E9" s="158"/>
      <c r="F9" s="158"/>
      <c r="G9" s="158"/>
      <c r="H9" s="158"/>
      <c r="I9" s="158"/>
      <c r="J9" s="158"/>
      <c r="K9" s="158"/>
      <c r="L9" s="158"/>
      <c r="O9" s="212" t="s">
        <v>110</v>
      </c>
      <c r="P9" s="213">
        <v>73</v>
      </c>
      <c r="Q9" s="213">
        <v>69</v>
      </c>
      <c r="Y9" s="349"/>
      <c r="Z9" s="349"/>
      <c r="AA9" s="349"/>
      <c r="AB9" s="349"/>
      <c r="AC9" s="349"/>
    </row>
    <row r="10" spans="1:29" ht="15" customHeight="1" x14ac:dyDescent="0.2">
      <c r="A10" s="387" t="s">
        <v>182</v>
      </c>
      <c r="B10" s="476" t="s">
        <v>318</v>
      </c>
      <c r="C10" s="440"/>
      <c r="D10" s="477"/>
      <c r="E10" s="158" t="s">
        <v>305</v>
      </c>
      <c r="F10" s="158"/>
      <c r="G10" s="158"/>
      <c r="H10" s="158"/>
      <c r="I10" s="158"/>
      <c r="J10" s="158"/>
      <c r="K10" s="158"/>
      <c r="L10" s="158"/>
      <c r="O10" s="211" t="s">
        <v>109</v>
      </c>
      <c r="P10">
        <f>P8-P9</f>
        <v>4</v>
      </c>
      <c r="Q10">
        <f>Q8-Q9</f>
        <v>4</v>
      </c>
      <c r="Y10" s="349"/>
      <c r="Z10" s="349"/>
      <c r="AA10" s="349"/>
      <c r="AB10" s="349"/>
      <c r="AC10" s="349"/>
    </row>
    <row r="11" spans="1:29" ht="15" customHeight="1" x14ac:dyDescent="0.2">
      <c r="A11" t="s">
        <v>182</v>
      </c>
      <c r="B11" s="476" t="s">
        <v>348</v>
      </c>
      <c r="C11" s="440"/>
      <c r="D11" s="477"/>
      <c r="E11" s="158"/>
      <c r="F11" s="158"/>
      <c r="G11" s="158"/>
      <c r="H11" s="158"/>
      <c r="I11" s="158"/>
      <c r="J11" s="158"/>
      <c r="K11" s="158"/>
      <c r="L11" s="158"/>
      <c r="Y11" s="349"/>
      <c r="Z11" s="349"/>
      <c r="AA11" s="349"/>
      <c r="AB11" s="349"/>
      <c r="AC11" s="349"/>
    </row>
    <row r="12" spans="1:29" ht="15" customHeight="1" x14ac:dyDescent="0.2">
      <c r="A12" t="s">
        <v>182</v>
      </c>
      <c r="B12" s="476" t="s">
        <v>106</v>
      </c>
      <c r="C12" s="440"/>
      <c r="D12" s="478" t="s">
        <v>333</v>
      </c>
      <c r="E12" s="158"/>
      <c r="F12" s="158"/>
      <c r="G12" s="158"/>
      <c r="H12" s="158"/>
      <c r="I12" s="158"/>
      <c r="J12" s="158"/>
      <c r="K12" s="158"/>
      <c r="L12" s="158"/>
      <c r="M12" s="41"/>
      <c r="Y12" s="349"/>
      <c r="Z12" s="349"/>
      <c r="AA12" s="349"/>
      <c r="AB12" s="349"/>
      <c r="AC12" s="349"/>
    </row>
    <row r="13" spans="1:29" ht="15" customHeight="1" thickBot="1" x14ac:dyDescent="0.25">
      <c r="A13" t="s">
        <v>182</v>
      </c>
      <c r="B13" s="479" t="s">
        <v>112</v>
      </c>
      <c r="C13" s="480" t="s">
        <v>354</v>
      </c>
      <c r="D13" s="481" t="s">
        <v>304</v>
      </c>
      <c r="E13" s="158" t="s">
        <v>276</v>
      </c>
      <c r="F13" s="158"/>
      <c r="G13" s="158"/>
      <c r="H13" s="158"/>
      <c r="I13" s="158"/>
      <c r="J13" s="158"/>
      <c r="K13" s="158"/>
      <c r="L13" s="158"/>
      <c r="M13" s="41"/>
      <c r="U13" s="90" t="s">
        <v>305</v>
      </c>
      <c r="Y13" s="349"/>
      <c r="Z13" s="349"/>
      <c r="AA13" s="349"/>
      <c r="AB13" s="349"/>
      <c r="AC13" s="349"/>
    </row>
    <row r="14" spans="1:29" ht="15" customHeight="1" thickBot="1" x14ac:dyDescent="0.25">
      <c r="A14" s="41"/>
      <c r="B14" s="209" t="s">
        <v>342</v>
      </c>
      <c r="C14" s="40"/>
      <c r="D14" s="40"/>
      <c r="E14" s="40"/>
      <c r="F14" s="40"/>
      <c r="G14" s="40"/>
      <c r="H14" s="40"/>
      <c r="I14" s="40"/>
      <c r="J14" s="40"/>
      <c r="K14" s="40"/>
      <c r="L14" s="40"/>
      <c r="M14" s="41"/>
      <c r="Y14" s="349"/>
      <c r="Z14" s="349"/>
      <c r="AA14" s="349"/>
      <c r="AB14" s="349"/>
      <c r="AC14" s="349"/>
    </row>
    <row r="15" spans="1:29" ht="15" customHeight="1" thickBot="1" x14ac:dyDescent="0.3">
      <c r="A15" s="41"/>
      <c r="B15" s="209" t="s">
        <v>343</v>
      </c>
      <c r="C15" s="40"/>
      <c r="D15" s="40"/>
      <c r="E15" s="40"/>
      <c r="F15" s="575" t="s">
        <v>424</v>
      </c>
      <c r="G15" s="576"/>
      <c r="H15" s="576"/>
      <c r="I15" s="576"/>
      <c r="J15" s="576"/>
      <c r="K15" s="577"/>
      <c r="L15" s="559" t="s">
        <v>425</v>
      </c>
      <c r="M15" s="41"/>
      <c r="U15" s="331" t="s">
        <v>294</v>
      </c>
      <c r="V15" s="332" t="s">
        <v>204</v>
      </c>
      <c r="W15" s="332"/>
      <c r="X15" s="349"/>
      <c r="Y15" s="349"/>
      <c r="Z15" s="349"/>
      <c r="AA15" s="349"/>
      <c r="AB15" s="349"/>
      <c r="AC15" s="349"/>
    </row>
    <row r="16" spans="1:29" ht="15" customHeight="1" x14ac:dyDescent="0.2">
      <c r="A16" s="41"/>
      <c r="B16" s="209" t="s">
        <v>344</v>
      </c>
      <c r="C16" s="40"/>
      <c r="D16" s="40"/>
      <c r="E16" s="40"/>
      <c r="F16" s="40"/>
      <c r="I16" s="40"/>
      <c r="J16" s="40"/>
      <c r="K16" s="40"/>
      <c r="L16" s="40"/>
      <c r="M16" s="41"/>
      <c r="U16" s="105" t="s">
        <v>44</v>
      </c>
      <c r="V16" s="332" t="s">
        <v>205</v>
      </c>
      <c r="W16" s="332"/>
      <c r="X16" s="349"/>
      <c r="Y16" s="349"/>
      <c r="Z16" s="349"/>
      <c r="AA16" s="349"/>
      <c r="AB16" s="349"/>
      <c r="AC16" s="349"/>
    </row>
    <row r="17" spans="1:35" ht="15" customHeight="1" x14ac:dyDescent="0.2">
      <c r="A17" s="41"/>
      <c r="B17" s="209" t="s">
        <v>345</v>
      </c>
      <c r="G17" s="582" t="s">
        <v>363</v>
      </c>
      <c r="H17" s="558"/>
      <c r="M17" s="41"/>
      <c r="U17" s="105" t="s">
        <v>45</v>
      </c>
      <c r="V17" s="343" t="s">
        <v>223</v>
      </c>
      <c r="W17" s="332"/>
      <c r="X17" s="349"/>
      <c r="Y17" s="349"/>
      <c r="Z17" s="349"/>
      <c r="AA17" s="349"/>
      <c r="AB17" s="349"/>
      <c r="AC17" s="349"/>
    </row>
    <row r="18" spans="1:35" ht="15" customHeight="1" x14ac:dyDescent="0.2">
      <c r="A18" s="41"/>
      <c r="B18" s="209" t="s">
        <v>346</v>
      </c>
      <c r="C18" s="40"/>
      <c r="D18" s="40"/>
      <c r="E18" s="40"/>
      <c r="F18" s="40"/>
      <c r="G18" s="582" t="s">
        <v>366</v>
      </c>
      <c r="H18" s="558"/>
      <c r="I18" s="40"/>
      <c r="J18" s="40"/>
      <c r="K18" s="40"/>
      <c r="L18" s="40"/>
      <c r="M18" s="41"/>
      <c r="U18" s="105" t="s">
        <v>48</v>
      </c>
      <c r="V18" s="343" t="s">
        <v>217</v>
      </c>
      <c r="W18" s="332"/>
      <c r="X18" s="349"/>
      <c r="Y18" s="349"/>
      <c r="Z18" s="349"/>
      <c r="AA18" s="349"/>
      <c r="AB18" s="349"/>
      <c r="AC18" s="349"/>
    </row>
    <row r="19" spans="1:35" ht="15" customHeight="1" x14ac:dyDescent="0.2">
      <c r="A19" s="41"/>
      <c r="B19" s="336" t="s">
        <v>315</v>
      </c>
      <c r="C19" s="415">
        <v>11</v>
      </c>
      <c r="D19" s="9"/>
      <c r="E19" s="9"/>
      <c r="F19" s="341"/>
      <c r="G19" s="583"/>
      <c r="H19" s="582" t="s">
        <v>367</v>
      </c>
      <c r="I19" s="40"/>
      <c r="J19" s="40"/>
      <c r="K19" s="40"/>
      <c r="L19" s="40"/>
      <c r="M19" s="41"/>
      <c r="U19" s="105" t="s">
        <v>75</v>
      </c>
      <c r="V19" s="343" t="s">
        <v>214</v>
      </c>
      <c r="W19" s="332"/>
      <c r="X19" s="349"/>
      <c r="Y19" s="349"/>
      <c r="Z19" s="349"/>
      <c r="AA19" s="349"/>
      <c r="AB19" s="349"/>
      <c r="AC19" s="349"/>
    </row>
    <row r="20" spans="1:35" ht="15" customHeight="1" x14ac:dyDescent="0.2">
      <c r="A20" s="41"/>
      <c r="B20" s="338"/>
      <c r="C20" s="335" t="str">
        <f>L243</f>
        <v xml:space="preserve">C-ZETA CURVE NAME  </v>
      </c>
      <c r="D20" s="40" t="str">
        <f>M243</f>
        <v>128_74_37_e</v>
      </c>
      <c r="E20" s="40"/>
      <c r="F20" s="339"/>
      <c r="G20" s="357" t="s">
        <v>375</v>
      </c>
      <c r="H20" s="40"/>
      <c r="I20" s="40"/>
      <c r="J20" s="40"/>
      <c r="K20" s="40"/>
      <c r="L20" s="40"/>
      <c r="M20" s="41"/>
      <c r="U20" s="105" t="s">
        <v>80</v>
      </c>
      <c r="V20" s="343" t="s">
        <v>293</v>
      </c>
      <c r="W20" s="332"/>
      <c r="X20" s="349"/>
      <c r="Y20" s="349"/>
      <c r="Z20" s="349"/>
      <c r="AA20" s="349"/>
      <c r="AB20" s="349"/>
      <c r="AC20" s="349"/>
    </row>
    <row r="21" spans="1:35" ht="15" customHeight="1" x14ac:dyDescent="0.2">
      <c r="B21" s="340" t="s">
        <v>302</v>
      </c>
      <c r="C21" s="24"/>
      <c r="D21" s="24"/>
      <c r="E21" s="24"/>
      <c r="F21" s="17"/>
      <c r="U21" s="105"/>
      <c r="V21" s="343" t="s">
        <v>224</v>
      </c>
      <c r="W21" s="332"/>
      <c r="X21" s="349"/>
      <c r="Y21" s="349"/>
      <c r="Z21" s="349"/>
      <c r="AA21" s="349"/>
      <c r="AB21" s="349"/>
      <c r="AC21" s="349"/>
    </row>
    <row r="22" spans="1:35" ht="15" customHeight="1" x14ac:dyDescent="0.2">
      <c r="A22" s="90" t="s">
        <v>44</v>
      </c>
      <c r="B22" s="64" t="s">
        <v>62</v>
      </c>
      <c r="U22" s="105"/>
      <c r="V22" s="332" t="s">
        <v>208</v>
      </c>
      <c r="W22" s="332"/>
      <c r="X22" s="349"/>
      <c r="Y22" s="349"/>
      <c r="Z22" s="349"/>
      <c r="AA22" s="349"/>
      <c r="AB22" s="349"/>
      <c r="AC22" s="349"/>
    </row>
    <row r="23" spans="1:35" ht="15" customHeight="1" x14ac:dyDescent="0.2">
      <c r="U23" s="105" t="s">
        <v>82</v>
      </c>
      <c r="V23" s="332" t="s">
        <v>209</v>
      </c>
      <c r="W23" s="332"/>
      <c r="X23" s="349"/>
      <c r="Y23" s="349"/>
      <c r="Z23" s="349"/>
      <c r="AA23" s="349"/>
      <c r="AB23" s="349"/>
      <c r="AC23" s="349"/>
    </row>
    <row r="24" spans="1:35" ht="15" customHeight="1" x14ac:dyDescent="0.2">
      <c r="B24" s="28" t="s">
        <v>63</v>
      </c>
      <c r="U24" s="105" t="s">
        <v>85</v>
      </c>
      <c r="V24" s="332" t="s">
        <v>210</v>
      </c>
      <c r="W24" s="332"/>
      <c r="X24" s="349"/>
      <c r="Y24" s="349"/>
      <c r="Z24" s="349"/>
      <c r="AA24" s="349"/>
      <c r="AB24" s="349"/>
      <c r="AC24" s="349"/>
    </row>
    <row r="25" spans="1:35" ht="15" customHeight="1" x14ac:dyDescent="0.2">
      <c r="B25" s="28" t="s">
        <v>127</v>
      </c>
      <c r="U25" s="105" t="s">
        <v>95</v>
      </c>
      <c r="V25" s="343" t="s">
        <v>211</v>
      </c>
      <c r="W25" s="332"/>
      <c r="X25" s="349"/>
      <c r="Y25" s="349"/>
      <c r="Z25" s="349"/>
      <c r="AA25" s="349"/>
      <c r="AB25" s="349"/>
      <c r="AC25" s="349"/>
      <c r="AG25" t="s">
        <v>172</v>
      </c>
      <c r="AH25" t="s">
        <v>369</v>
      </c>
    </row>
    <row r="26" spans="1:35" ht="15" customHeight="1" x14ac:dyDescent="0.2">
      <c r="G26" s="500" t="s">
        <v>368</v>
      </c>
      <c r="I26" s="1"/>
      <c r="J26" s="1"/>
      <c r="U26" s="105" t="s">
        <v>98</v>
      </c>
      <c r="V26" s="343" t="s">
        <v>212</v>
      </c>
      <c r="W26" s="332"/>
      <c r="X26" s="349"/>
    </row>
    <row r="27" spans="1:35" ht="15" customHeight="1" x14ac:dyDescent="0.2">
      <c r="B27" s="67"/>
      <c r="C27" s="396" t="s">
        <v>28</v>
      </c>
      <c r="D27" s="396" t="s">
        <v>28</v>
      </c>
      <c r="E27" s="400" t="s">
        <v>28</v>
      </c>
      <c r="G27" s="382" t="s">
        <v>125</v>
      </c>
      <c r="I27" s="1"/>
      <c r="J27" s="1"/>
      <c r="U27" s="105"/>
      <c r="V27" s="332"/>
      <c r="W27" s="332"/>
      <c r="X27" s="349"/>
      <c r="AG27" s="382" t="s">
        <v>125</v>
      </c>
      <c r="AH27" s="382" t="s">
        <v>125</v>
      </c>
    </row>
    <row r="28" spans="1:35" ht="15" customHeight="1" x14ac:dyDescent="0.2">
      <c r="B28" s="67"/>
      <c r="C28" s="388" t="s">
        <v>260</v>
      </c>
      <c r="D28" s="388" t="s">
        <v>261</v>
      </c>
      <c r="E28" s="388" t="s">
        <v>31</v>
      </c>
      <c r="G28" s="383" t="s">
        <v>34</v>
      </c>
      <c r="U28" s="343" t="s">
        <v>226</v>
      </c>
      <c r="V28" s="332"/>
      <c r="W28" s="332"/>
      <c r="X28" s="349"/>
      <c r="AG28" s="383" t="s">
        <v>34</v>
      </c>
      <c r="AH28" s="383" t="s">
        <v>34</v>
      </c>
    </row>
    <row r="29" spans="1:35" ht="15" customHeight="1" x14ac:dyDescent="0.2">
      <c r="B29" s="68" t="s">
        <v>21</v>
      </c>
      <c r="C29" s="397" t="s">
        <v>29</v>
      </c>
      <c r="D29" s="397" t="s">
        <v>30</v>
      </c>
      <c r="E29" s="395" t="s">
        <v>74</v>
      </c>
      <c r="G29" s="383" t="s">
        <v>35</v>
      </c>
      <c r="U29" s="343" t="s">
        <v>295</v>
      </c>
      <c r="V29" s="332"/>
      <c r="W29" s="332"/>
      <c r="X29" s="349"/>
      <c r="AG29" s="383" t="s">
        <v>35</v>
      </c>
      <c r="AH29" s="383" t="s">
        <v>35</v>
      </c>
    </row>
    <row r="30" spans="1:35" ht="15" customHeight="1" x14ac:dyDescent="0.2">
      <c r="B30" s="68">
        <v>1</v>
      </c>
      <c r="C30" s="398">
        <v>2</v>
      </c>
      <c r="D30" s="398">
        <v>0.75</v>
      </c>
      <c r="E30" s="389">
        <f>SUM(C30:D30)/2</f>
        <v>1.375</v>
      </c>
      <c r="G30" s="384">
        <f>AI30</f>
        <v>1.25</v>
      </c>
      <c r="I30" s="28" t="s">
        <v>284</v>
      </c>
      <c r="U30" s="350"/>
      <c r="V30" s="349"/>
      <c r="W30" s="349"/>
      <c r="X30" s="349"/>
      <c r="AG30" s="384">
        <v>0.8</v>
      </c>
      <c r="AH30" s="384">
        <v>1.7</v>
      </c>
      <c r="AI30">
        <f>SUM(AG30:AH30)/2</f>
        <v>1.25</v>
      </c>
    </row>
    <row r="31" spans="1:35" ht="15" customHeight="1" x14ac:dyDescent="0.2">
      <c r="B31" s="68">
        <v>2</v>
      </c>
      <c r="C31" s="398">
        <v>4</v>
      </c>
      <c r="D31" s="398">
        <v>2</v>
      </c>
      <c r="E31" s="389">
        <f t="shared" ref="E31:E39" si="0">SUM(C31:D31)/2</f>
        <v>3</v>
      </c>
      <c r="G31" s="385">
        <f t="shared" ref="G31:G39" si="1">AI31</f>
        <v>3.25</v>
      </c>
      <c r="I31" t="s">
        <v>283</v>
      </c>
      <c r="U31" s="350"/>
      <c r="V31" s="349"/>
      <c r="W31" s="349"/>
      <c r="X31" s="349"/>
      <c r="AG31" s="385">
        <v>2.5</v>
      </c>
      <c r="AH31" s="385">
        <v>4</v>
      </c>
      <c r="AI31">
        <f t="shared" ref="AI31:AI39" si="2">SUM(AG31:AH31)/2</f>
        <v>3.25</v>
      </c>
    </row>
    <row r="32" spans="1:35" ht="15" customHeight="1" x14ac:dyDescent="0.2">
      <c r="B32" s="68">
        <v>3</v>
      </c>
      <c r="C32" s="398">
        <v>5.8</v>
      </c>
      <c r="D32" s="398">
        <v>3.3</v>
      </c>
      <c r="E32" s="389">
        <f t="shared" si="0"/>
        <v>4.55</v>
      </c>
      <c r="G32" s="386">
        <f t="shared" si="1"/>
        <v>5.8</v>
      </c>
      <c r="AG32" s="386">
        <v>4.8</v>
      </c>
      <c r="AH32" s="386">
        <v>6.8</v>
      </c>
      <c r="AI32">
        <f t="shared" si="2"/>
        <v>5.8</v>
      </c>
    </row>
    <row r="33" spans="1:35" ht="15" customHeight="1" x14ac:dyDescent="0.2">
      <c r="B33" s="68">
        <v>4</v>
      </c>
      <c r="C33" s="398">
        <v>7.51</v>
      </c>
      <c r="D33" s="398">
        <v>4.7</v>
      </c>
      <c r="E33" s="389">
        <f t="shared" si="0"/>
        <v>6.1050000000000004</v>
      </c>
      <c r="G33" s="386">
        <f t="shared" si="1"/>
        <v>8.4</v>
      </c>
      <c r="AG33" s="386">
        <v>7.4</v>
      </c>
      <c r="AH33" s="386">
        <v>9.4</v>
      </c>
      <c r="AI33">
        <f t="shared" si="2"/>
        <v>8.4</v>
      </c>
    </row>
    <row r="34" spans="1:35" ht="15" customHeight="1" x14ac:dyDescent="0.2">
      <c r="B34" s="68">
        <v>5</v>
      </c>
      <c r="C34" s="398">
        <v>9</v>
      </c>
      <c r="D34" s="398">
        <v>5.9</v>
      </c>
      <c r="E34" s="389">
        <f t="shared" si="0"/>
        <v>7.45</v>
      </c>
      <c r="G34" s="385">
        <f t="shared" si="1"/>
        <v>10.95</v>
      </c>
      <c r="AG34" s="385">
        <v>9.8000000000000007</v>
      </c>
      <c r="AH34" s="385">
        <v>12.1</v>
      </c>
      <c r="AI34">
        <f t="shared" si="2"/>
        <v>10.95</v>
      </c>
    </row>
    <row r="35" spans="1:35" ht="15" customHeight="1" x14ac:dyDescent="0.2">
      <c r="B35" s="68">
        <v>10</v>
      </c>
      <c r="C35" s="398">
        <v>11.51</v>
      </c>
      <c r="D35" s="398">
        <v>10</v>
      </c>
      <c r="E35" s="389">
        <f t="shared" si="0"/>
        <v>10.754999999999999</v>
      </c>
      <c r="G35" s="386">
        <f t="shared" si="1"/>
        <v>22.85</v>
      </c>
      <c r="AG35" s="386">
        <v>20.6</v>
      </c>
      <c r="AH35" s="386">
        <v>25.1</v>
      </c>
      <c r="AI35">
        <f t="shared" si="2"/>
        <v>22.85</v>
      </c>
    </row>
    <row r="36" spans="1:35" ht="15" customHeight="1" x14ac:dyDescent="0.2">
      <c r="B36" s="68">
        <v>20</v>
      </c>
      <c r="C36" s="398">
        <v>13</v>
      </c>
      <c r="D36" s="398">
        <v>13</v>
      </c>
      <c r="E36" s="389">
        <f t="shared" si="0"/>
        <v>13</v>
      </c>
      <c r="G36" s="386">
        <f t="shared" si="1"/>
        <v>41.8</v>
      </c>
      <c r="AG36" s="386">
        <v>36.4</v>
      </c>
      <c r="AH36" s="386">
        <v>47.2</v>
      </c>
      <c r="AI36">
        <f t="shared" si="2"/>
        <v>41.8</v>
      </c>
    </row>
    <row r="37" spans="1:35" ht="15" customHeight="1" x14ac:dyDescent="0.2">
      <c r="B37" s="68">
        <v>30</v>
      </c>
      <c r="C37" s="398">
        <v>13</v>
      </c>
      <c r="D37" s="398">
        <v>13</v>
      </c>
      <c r="E37" s="389">
        <f t="shared" si="0"/>
        <v>13</v>
      </c>
      <c r="G37" s="386">
        <f t="shared" si="1"/>
        <v>57.6</v>
      </c>
      <c r="AG37" s="386">
        <v>50</v>
      </c>
      <c r="AH37" s="386">
        <v>65.2</v>
      </c>
      <c r="AI37">
        <f t="shared" si="2"/>
        <v>57.6</v>
      </c>
    </row>
    <row r="38" spans="1:35" ht="15" customHeight="1" x14ac:dyDescent="0.2">
      <c r="B38" s="68">
        <v>40</v>
      </c>
      <c r="C38" s="398">
        <v>13</v>
      </c>
      <c r="D38" s="398">
        <v>13</v>
      </c>
      <c r="E38" s="389">
        <f t="shared" si="0"/>
        <v>13</v>
      </c>
      <c r="G38" s="386">
        <f t="shared" si="1"/>
        <v>72.199999999999989</v>
      </c>
      <c r="H38" s="1"/>
      <c r="AG38" s="386">
        <v>63.3</v>
      </c>
      <c r="AH38" s="386">
        <v>81.099999999999994</v>
      </c>
      <c r="AI38">
        <f t="shared" si="2"/>
        <v>72.199999999999989</v>
      </c>
    </row>
    <row r="39" spans="1:35" ht="15" customHeight="1" x14ac:dyDescent="0.2">
      <c r="B39" s="68">
        <v>50</v>
      </c>
      <c r="C39" s="399">
        <v>13</v>
      </c>
      <c r="D39" s="399">
        <v>13</v>
      </c>
      <c r="E39" s="390">
        <f t="shared" si="0"/>
        <v>13</v>
      </c>
      <c r="G39" s="387">
        <f t="shared" si="1"/>
        <v>85.1</v>
      </c>
      <c r="AG39" s="387">
        <v>74.7</v>
      </c>
      <c r="AH39" s="387">
        <v>95.5</v>
      </c>
      <c r="AI39">
        <f t="shared" si="2"/>
        <v>85.1</v>
      </c>
    </row>
    <row r="40" spans="1:35" ht="15" customHeight="1" x14ac:dyDescent="0.2"/>
    <row r="41" spans="1:35" ht="15" customHeight="1" x14ac:dyDescent="0.2"/>
    <row r="42" spans="1:35" ht="15" customHeight="1" x14ac:dyDescent="0.2"/>
    <row r="43" spans="1:35" ht="15" customHeight="1" x14ac:dyDescent="0.2"/>
    <row r="44" spans="1:35" ht="15" customHeight="1" x14ac:dyDescent="0.2">
      <c r="A44" s="64" t="s">
        <v>45</v>
      </c>
      <c r="B44" s="64" t="s">
        <v>113</v>
      </c>
    </row>
    <row r="45" spans="1:35" ht="15" customHeight="1" x14ac:dyDescent="0.2">
      <c r="B45" s="90" t="s">
        <v>65</v>
      </c>
    </row>
    <row r="46" spans="1:35" ht="15" customHeight="1" x14ac:dyDescent="0.2">
      <c r="B46" s="90" t="s">
        <v>67</v>
      </c>
    </row>
    <row r="47" spans="1:35" ht="15" customHeight="1" x14ac:dyDescent="0.2">
      <c r="B47" s="500"/>
    </row>
    <row r="48" spans="1:35" ht="15" customHeight="1" x14ac:dyDescent="0.2">
      <c r="B48" s="117" t="s">
        <v>125</v>
      </c>
      <c r="C48" s="117"/>
      <c r="D48" s="117"/>
      <c r="N48" s="117">
        <v>3171</v>
      </c>
      <c r="O48" s="117">
        <v>3304</v>
      </c>
    </row>
    <row r="49" spans="2:16" ht="15" customHeight="1" x14ac:dyDescent="0.2">
      <c r="B49" s="117" t="s">
        <v>34</v>
      </c>
      <c r="C49" s="117"/>
      <c r="D49" s="117" t="s">
        <v>34</v>
      </c>
      <c r="N49" s="117" t="s">
        <v>34</v>
      </c>
      <c r="O49" s="117" t="s">
        <v>34</v>
      </c>
    </row>
    <row r="50" spans="2:16" ht="15" customHeight="1" x14ac:dyDescent="0.2">
      <c r="B50" s="117" t="s">
        <v>42</v>
      </c>
      <c r="C50" s="117"/>
      <c r="D50" s="117" t="s">
        <v>42</v>
      </c>
      <c r="N50" s="117" t="s">
        <v>42</v>
      </c>
      <c r="O50" s="117" t="s">
        <v>42</v>
      </c>
    </row>
    <row r="51" spans="2:16" ht="15" customHeight="1" x14ac:dyDescent="0.2">
      <c r="B51" s="117" t="s">
        <v>43</v>
      </c>
      <c r="C51" s="117" t="s">
        <v>21</v>
      </c>
      <c r="D51" s="117" t="s">
        <v>43</v>
      </c>
      <c r="N51" s="117" t="s">
        <v>43</v>
      </c>
      <c r="O51" s="117" t="s">
        <v>43</v>
      </c>
      <c r="P51" s="251" t="s">
        <v>381</v>
      </c>
    </row>
    <row r="52" spans="2:16" ht="15" customHeight="1" x14ac:dyDescent="0.2">
      <c r="B52" s="247">
        <f>P52</f>
        <v>28.6</v>
      </c>
      <c r="C52" s="106">
        <v>1</v>
      </c>
      <c r="D52" s="109">
        <v>28.6</v>
      </c>
      <c r="N52" s="247">
        <v>27.5</v>
      </c>
      <c r="O52" s="247">
        <v>29.7</v>
      </c>
      <c r="P52" s="184">
        <f>(N52+O52)/2</f>
        <v>28.6</v>
      </c>
    </row>
    <row r="53" spans="2:16" ht="15" customHeight="1" x14ac:dyDescent="0.2">
      <c r="B53" s="248">
        <f t="shared" ref="B53:B61" si="3">P53</f>
        <v>54.2</v>
      </c>
      <c r="C53" s="106">
        <v>2</v>
      </c>
      <c r="D53" s="110">
        <v>54.2</v>
      </c>
      <c r="N53" s="248">
        <v>50.9</v>
      </c>
      <c r="O53" s="248">
        <v>57.5</v>
      </c>
      <c r="P53" s="184">
        <f t="shared" ref="P53:P61" si="4">(N53+O53)/2</f>
        <v>54.2</v>
      </c>
    </row>
    <row r="54" spans="2:16" ht="15" customHeight="1" x14ac:dyDescent="0.2">
      <c r="B54" s="43">
        <f t="shared" si="3"/>
        <v>74.849999999999994</v>
      </c>
      <c r="C54" s="106">
        <v>3</v>
      </c>
      <c r="D54" s="105">
        <v>74.849999999999994</v>
      </c>
      <c r="N54" s="43">
        <v>70.2</v>
      </c>
      <c r="O54" s="43">
        <v>79.5</v>
      </c>
      <c r="P54" s="184">
        <f t="shared" si="4"/>
        <v>74.849999999999994</v>
      </c>
    </row>
    <row r="55" spans="2:16" ht="15" customHeight="1" x14ac:dyDescent="0.2">
      <c r="B55" s="43">
        <f t="shared" si="3"/>
        <v>92.300000000000011</v>
      </c>
      <c r="C55" s="106">
        <v>4</v>
      </c>
      <c r="D55" s="105">
        <v>92.300000000000011</v>
      </c>
      <c r="N55" s="43">
        <v>88.2</v>
      </c>
      <c r="O55" s="43">
        <v>96.4</v>
      </c>
      <c r="P55" s="184">
        <f t="shared" si="4"/>
        <v>92.300000000000011</v>
      </c>
    </row>
    <row r="56" spans="2:16" ht="15" customHeight="1" x14ac:dyDescent="0.2">
      <c r="B56" s="248">
        <f t="shared" si="3"/>
        <v>109</v>
      </c>
      <c r="C56" s="106">
        <v>5</v>
      </c>
      <c r="D56" s="492">
        <v>108</v>
      </c>
      <c r="N56" s="248">
        <v>104.6</v>
      </c>
      <c r="O56" s="248">
        <v>113.4</v>
      </c>
      <c r="P56" s="184">
        <f t="shared" si="4"/>
        <v>109</v>
      </c>
    </row>
    <row r="57" spans="2:16" ht="15" customHeight="1" x14ac:dyDescent="0.2">
      <c r="B57" s="43">
        <f t="shared" si="3"/>
        <v>175.9</v>
      </c>
      <c r="C57" s="106">
        <v>10</v>
      </c>
      <c r="D57" s="105">
        <v>175.9</v>
      </c>
      <c r="N57" s="43">
        <v>169.8</v>
      </c>
      <c r="O57" s="43">
        <v>182</v>
      </c>
      <c r="P57" s="184">
        <f t="shared" si="4"/>
        <v>175.9</v>
      </c>
    </row>
    <row r="58" spans="2:16" ht="15" customHeight="1" x14ac:dyDescent="0.2">
      <c r="B58" s="43">
        <f t="shared" si="3"/>
        <v>289.14999999999998</v>
      </c>
      <c r="C58" s="106">
        <v>20</v>
      </c>
      <c r="D58" s="105">
        <v>289.14999999999998</v>
      </c>
      <c r="N58" s="43">
        <v>276.8</v>
      </c>
      <c r="O58" s="43">
        <v>301.5</v>
      </c>
      <c r="P58" s="184">
        <f t="shared" si="4"/>
        <v>289.14999999999998</v>
      </c>
    </row>
    <row r="59" spans="2:16" ht="15" customHeight="1" x14ac:dyDescent="0.2">
      <c r="B59" s="43">
        <f t="shared" si="3"/>
        <v>394.04999999999995</v>
      </c>
      <c r="C59" s="106">
        <v>30</v>
      </c>
      <c r="D59" s="105">
        <v>394.04999999999995</v>
      </c>
      <c r="N59" s="43">
        <v>372.2</v>
      </c>
      <c r="O59" s="43">
        <v>415.9</v>
      </c>
      <c r="P59" s="184">
        <f t="shared" si="4"/>
        <v>394.04999999999995</v>
      </c>
    </row>
    <row r="60" spans="2:16" ht="15" customHeight="1" x14ac:dyDescent="0.2">
      <c r="B60" s="43">
        <f t="shared" si="3"/>
        <v>491.55</v>
      </c>
      <c r="C60" s="106">
        <v>40</v>
      </c>
      <c r="D60" s="105">
        <v>491.55</v>
      </c>
      <c r="N60" s="43">
        <v>462</v>
      </c>
      <c r="O60" s="43">
        <v>521.1</v>
      </c>
      <c r="P60" s="184">
        <f t="shared" si="4"/>
        <v>491.55</v>
      </c>
    </row>
    <row r="61" spans="2:16" ht="15" customHeight="1" x14ac:dyDescent="0.2">
      <c r="B61" s="248">
        <f t="shared" si="3"/>
        <v>578.54999999999995</v>
      </c>
      <c r="C61" s="106">
        <v>50</v>
      </c>
      <c r="D61" s="110">
        <v>578.54999999999995</v>
      </c>
      <c r="N61" s="248">
        <v>538.29999999999995</v>
      </c>
      <c r="O61" s="248">
        <v>618.79999999999995</v>
      </c>
      <c r="P61" s="184">
        <f t="shared" si="4"/>
        <v>578.54999999999995</v>
      </c>
    </row>
    <row r="62" spans="2:16" ht="15" customHeight="1" x14ac:dyDescent="0.2"/>
    <row r="63" spans="2:16" ht="15" customHeight="1" x14ac:dyDescent="0.2">
      <c r="C63" s="315" t="s">
        <v>126</v>
      </c>
    </row>
    <row r="64" spans="2:16" ht="15" customHeight="1" x14ac:dyDescent="0.2"/>
    <row r="65" spans="1:11" ht="15" customHeight="1" x14ac:dyDescent="0.2"/>
    <row r="66" spans="1:11" ht="15" customHeight="1" x14ac:dyDescent="0.2">
      <c r="A66" s="64" t="s">
        <v>48</v>
      </c>
      <c r="B66" s="64" t="s">
        <v>310</v>
      </c>
    </row>
    <row r="67" spans="1:11" ht="15" customHeight="1" x14ac:dyDescent="0.2">
      <c r="B67" s="64" t="s">
        <v>309</v>
      </c>
    </row>
    <row r="68" spans="1:11" ht="15" customHeight="1" x14ac:dyDescent="0.2">
      <c r="B68" s="90"/>
    </row>
    <row r="69" spans="1:11" ht="15" customHeight="1" x14ac:dyDescent="0.2"/>
    <row r="70" spans="1:11" ht="15" customHeight="1" x14ac:dyDescent="0.2">
      <c r="E70" s="409">
        <f>INDEX(LINEST(D$78:D$82,($C$78:$C$82)^{1,2,3}),1)</f>
        <v>0.26666666666666128</v>
      </c>
      <c r="F70" s="408">
        <f>INDEX(LINEST(D$83:D$87,($C$83:$C$87)^{1,2,3}),1)</f>
        <v>-1.7916666666667759E-4</v>
      </c>
      <c r="H70" t="s">
        <v>300</v>
      </c>
    </row>
    <row r="71" spans="1:11" ht="15" customHeight="1" x14ac:dyDescent="0.2">
      <c r="E71" s="409">
        <f>INDEX(LINEST(D$78:D$82,($C$78:$C$82)^{1,2,3}),2)</f>
        <v>-4.0428571428570876</v>
      </c>
      <c r="F71" s="408">
        <f>INDEX(LINEST(D$83:D$87,($C$83:$C$87)^{1,2,3}),2)</f>
        <v>-2.6660714285713233E-2</v>
      </c>
      <c r="H71" t="s">
        <v>301</v>
      </c>
    </row>
    <row r="72" spans="1:11" ht="15" customHeight="1" x14ac:dyDescent="0.2">
      <c r="E72" s="409">
        <f>INDEX(LINEST(D$78:D$82,($C$78:$C$82)^{1,2,3}),3)</f>
        <v>35.840476190476025</v>
      </c>
      <c r="F72" s="408">
        <f>INDEX(LINEST(D$83:D$87,($C$83:$C$87)^{1,2,3}),3)</f>
        <v>12.221309523809493</v>
      </c>
    </row>
    <row r="73" spans="1:11" ht="15" customHeight="1" x14ac:dyDescent="0.2">
      <c r="E73" s="409">
        <f>INDEX(LINEST(D$78:D$82,($C$78:$C$82)^{1,2,3}),4)</f>
        <v>-3.4599999999998658</v>
      </c>
      <c r="F73" s="408">
        <f>INDEX(LINEST(D$83:D$87,($C$83:$C$87)^{1,2,3}),4)</f>
        <v>56.590000000000195</v>
      </c>
    </row>
    <row r="74" spans="1:11" ht="15" customHeight="1" x14ac:dyDescent="0.2">
      <c r="E74" s="1"/>
      <c r="F74" s="1"/>
    </row>
    <row r="75" spans="1:11" ht="15" customHeight="1" x14ac:dyDescent="0.2">
      <c r="C75" s="116"/>
      <c r="D75" s="117" t="s">
        <v>69</v>
      </c>
      <c r="E75" s="117"/>
      <c r="F75" s="1"/>
      <c r="H75" s="133"/>
      <c r="I75" s="391" t="s">
        <v>56</v>
      </c>
      <c r="J75" s="133"/>
      <c r="K75" s="133"/>
    </row>
    <row r="76" spans="1:11" ht="15" customHeight="1" x14ac:dyDescent="0.2">
      <c r="A76" s="283" t="s">
        <v>311</v>
      </c>
      <c r="C76" s="116"/>
      <c r="D76" s="117" t="s">
        <v>42</v>
      </c>
      <c r="E76" s="117"/>
      <c r="F76" s="1"/>
      <c r="H76" s="133"/>
      <c r="I76" s="392" t="s">
        <v>33</v>
      </c>
      <c r="J76" s="133" t="s">
        <v>34</v>
      </c>
      <c r="K76" s="413" t="s">
        <v>298</v>
      </c>
    </row>
    <row r="77" spans="1:11" ht="15" customHeight="1" x14ac:dyDescent="0.2">
      <c r="C77" s="116" t="s">
        <v>21</v>
      </c>
      <c r="D77" s="117" t="s">
        <v>43</v>
      </c>
      <c r="E77" s="117"/>
      <c r="F77" s="1"/>
      <c r="H77" s="133" t="s">
        <v>21</v>
      </c>
      <c r="I77" s="392" t="s">
        <v>72</v>
      </c>
      <c r="J77" s="133" t="s">
        <v>264</v>
      </c>
      <c r="K77" s="414" t="s">
        <v>299</v>
      </c>
    </row>
    <row r="78" spans="1:11" ht="15" customHeight="1" x14ac:dyDescent="0.2">
      <c r="C78" s="106">
        <v>1</v>
      </c>
      <c r="D78" s="109">
        <f>D52</f>
        <v>28.6</v>
      </c>
      <c r="E78" s="114">
        <f>(E$70*($C78)^3)+(E$71*($C78)^2)+(E$72*($C78)^1)+(E$73)</f>
        <v>28.60428571428573</v>
      </c>
      <c r="F78" s="2"/>
      <c r="H78" s="106">
        <v>1</v>
      </c>
      <c r="I78" s="393">
        <f>E78</f>
        <v>28.60428571428573</v>
      </c>
      <c r="J78" s="109">
        <f>B52</f>
        <v>28.6</v>
      </c>
      <c r="K78" s="410">
        <f>I78-J78</f>
        <v>4.285714285728659E-3</v>
      </c>
    </row>
    <row r="79" spans="1:11" ht="15" customHeight="1" x14ac:dyDescent="0.2">
      <c r="C79" s="106">
        <v>2</v>
      </c>
      <c r="D79" s="110">
        <f t="shared" ref="D79:D87" si="5">D53</f>
        <v>54.2</v>
      </c>
      <c r="E79" s="114">
        <f t="shared" ref="E79:E82" si="6">(E$70*($C79)^3)+(E$71*($C79)^2)+(E$72*($C79)^1)+(E$73)</f>
        <v>54.182857142857124</v>
      </c>
      <c r="F79" s="2"/>
      <c r="H79" s="106">
        <v>2</v>
      </c>
      <c r="I79" s="393">
        <f t="shared" ref="I79:I82" si="7">E79</f>
        <v>54.182857142857124</v>
      </c>
      <c r="J79" s="110">
        <f t="shared" ref="J79:J87" si="8">B53</f>
        <v>54.2</v>
      </c>
      <c r="K79" s="411">
        <f t="shared" ref="K79:K87" si="9">I79-J79</f>
        <v>-1.7142857142879109E-2</v>
      </c>
    </row>
    <row r="80" spans="1:11" ht="15" customHeight="1" x14ac:dyDescent="0.2">
      <c r="B80" s="28" t="s">
        <v>308</v>
      </c>
      <c r="C80" s="106">
        <v>3</v>
      </c>
      <c r="D80" s="105">
        <f t="shared" si="5"/>
        <v>74.849999999999994</v>
      </c>
      <c r="E80" s="114">
        <f t="shared" si="6"/>
        <v>74.875714285714281</v>
      </c>
      <c r="F80" s="2"/>
      <c r="H80" s="106">
        <v>3</v>
      </c>
      <c r="I80" s="393">
        <f t="shared" si="7"/>
        <v>74.875714285714281</v>
      </c>
      <c r="J80" s="105">
        <f t="shared" si="8"/>
        <v>74.849999999999994</v>
      </c>
      <c r="K80" s="412">
        <f t="shared" si="9"/>
        <v>2.5714285714286689E-2</v>
      </c>
    </row>
    <row r="81" spans="1:11" ht="15" customHeight="1" x14ac:dyDescent="0.2">
      <c r="C81" s="106">
        <v>4</v>
      </c>
      <c r="D81" s="105">
        <f t="shared" si="5"/>
        <v>92.300000000000011</v>
      </c>
      <c r="E81" s="114">
        <f t="shared" si="6"/>
        <v>92.282857142857154</v>
      </c>
      <c r="F81" s="2"/>
      <c r="H81" s="106">
        <v>4</v>
      </c>
      <c r="I81" s="393">
        <f t="shared" si="7"/>
        <v>92.282857142857154</v>
      </c>
      <c r="J81" s="105">
        <f t="shared" si="8"/>
        <v>92.300000000000011</v>
      </c>
      <c r="K81" s="412">
        <f t="shared" si="9"/>
        <v>-1.7142857142857792E-2</v>
      </c>
    </row>
    <row r="82" spans="1:11" ht="15" customHeight="1" x14ac:dyDescent="0.2">
      <c r="C82" s="106">
        <v>5</v>
      </c>
      <c r="D82" s="110">
        <f t="shared" si="5"/>
        <v>108</v>
      </c>
      <c r="E82" s="114">
        <f t="shared" si="6"/>
        <v>108.00428571428571</v>
      </c>
      <c r="F82" s="2"/>
      <c r="H82" s="106">
        <v>5</v>
      </c>
      <c r="I82" s="393">
        <f t="shared" si="7"/>
        <v>108.00428571428571</v>
      </c>
      <c r="J82" s="110">
        <f t="shared" si="8"/>
        <v>109</v>
      </c>
      <c r="K82" s="411">
        <f t="shared" si="9"/>
        <v>-0.99571428571428555</v>
      </c>
    </row>
    <row r="83" spans="1:11" ht="15" customHeight="1" x14ac:dyDescent="0.2">
      <c r="C83" s="106">
        <v>10</v>
      </c>
      <c r="D83" s="105">
        <f t="shared" si="5"/>
        <v>175.9</v>
      </c>
      <c r="E83" s="416"/>
      <c r="F83" s="115">
        <f>(F$70*($C83)^3)+(F$71*($C83)^2)+(F$72*($C83)^1)+(F$73)</f>
        <v>175.95785714285714</v>
      </c>
      <c r="H83" s="106">
        <v>10</v>
      </c>
      <c r="I83" s="393">
        <f>F83</f>
        <v>175.95785714285714</v>
      </c>
      <c r="J83" s="105">
        <f t="shared" si="8"/>
        <v>175.9</v>
      </c>
      <c r="K83" s="412">
        <f t="shared" si="9"/>
        <v>5.7857142857130839E-2</v>
      </c>
    </row>
    <row r="84" spans="1:11" ht="15" customHeight="1" x14ac:dyDescent="0.2">
      <c r="C84" s="106">
        <v>20</v>
      </c>
      <c r="D84" s="105">
        <f t="shared" si="5"/>
        <v>289.14999999999998</v>
      </c>
      <c r="E84" s="2"/>
      <c r="F84" s="115">
        <f t="shared" ref="F84:F87" si="10">(F$70*($C84)^3)+(F$71*($C84)^2)+(F$72*($C84)^1)+(F$73)</f>
        <v>288.91857142857134</v>
      </c>
      <c r="H84" s="106">
        <v>20</v>
      </c>
      <c r="I84" s="393">
        <f t="shared" ref="I84:I87" si="11">F84</f>
        <v>288.91857142857134</v>
      </c>
      <c r="J84" s="105">
        <f t="shared" si="8"/>
        <v>289.14999999999998</v>
      </c>
      <c r="K84" s="412">
        <f t="shared" si="9"/>
        <v>-0.23142857142863704</v>
      </c>
    </row>
    <row r="85" spans="1:11" ht="15" customHeight="1" x14ac:dyDescent="0.2">
      <c r="B85" s="28" t="s">
        <v>297</v>
      </c>
      <c r="C85" s="106">
        <v>30</v>
      </c>
      <c r="D85" s="105">
        <f t="shared" si="5"/>
        <v>394.04999999999995</v>
      </c>
      <c r="E85" s="2"/>
      <c r="F85" s="115">
        <f t="shared" si="10"/>
        <v>394.3971428571428</v>
      </c>
      <c r="H85" s="106">
        <v>30</v>
      </c>
      <c r="I85" s="393">
        <f t="shared" si="11"/>
        <v>394.3971428571428</v>
      </c>
      <c r="J85" s="105">
        <f t="shared" si="8"/>
        <v>394.04999999999995</v>
      </c>
      <c r="K85" s="412">
        <f t="shared" si="9"/>
        <v>0.34714285714284188</v>
      </c>
    </row>
    <row r="86" spans="1:11" ht="15" customHeight="1" x14ac:dyDescent="0.2">
      <c r="C86" s="106">
        <v>40</v>
      </c>
      <c r="D86" s="105">
        <f t="shared" si="5"/>
        <v>491.55</v>
      </c>
      <c r="E86" s="2"/>
      <c r="F86" s="115">
        <f t="shared" si="10"/>
        <v>491.31857142857143</v>
      </c>
      <c r="H86" s="106">
        <v>40</v>
      </c>
      <c r="I86" s="393">
        <f t="shared" si="11"/>
        <v>491.31857142857143</v>
      </c>
      <c r="J86" s="105">
        <f t="shared" si="8"/>
        <v>491.55</v>
      </c>
      <c r="K86" s="412">
        <f t="shared" si="9"/>
        <v>-0.2314285714285802</v>
      </c>
    </row>
    <row r="87" spans="1:11" ht="15" customHeight="1" x14ac:dyDescent="0.2">
      <c r="C87" s="106">
        <v>50</v>
      </c>
      <c r="D87" s="110">
        <f t="shared" si="5"/>
        <v>578.54999999999995</v>
      </c>
      <c r="E87" s="2"/>
      <c r="F87" s="115">
        <f t="shared" si="10"/>
        <v>578.60785714285703</v>
      </c>
      <c r="H87" s="106">
        <v>50</v>
      </c>
      <c r="I87" s="394">
        <f t="shared" si="11"/>
        <v>578.60785714285703</v>
      </c>
      <c r="J87" s="110">
        <f t="shared" si="8"/>
        <v>578.54999999999995</v>
      </c>
      <c r="K87" s="411">
        <f t="shared" si="9"/>
        <v>5.7857142857073995E-2</v>
      </c>
    </row>
    <row r="88" spans="1:11" ht="15" customHeight="1" x14ac:dyDescent="0.2">
      <c r="I88" s="38"/>
    </row>
    <row r="89" spans="1:11" ht="15" customHeight="1" x14ac:dyDescent="0.2">
      <c r="J89" s="493"/>
    </row>
    <row r="90" spans="1:11" ht="15" customHeight="1" x14ac:dyDescent="0.2"/>
    <row r="91" spans="1:11" ht="15" customHeight="1" x14ac:dyDescent="0.2">
      <c r="I91" s="38"/>
    </row>
    <row r="92" spans="1:11" ht="15" customHeight="1" x14ac:dyDescent="0.2">
      <c r="A92" s="64" t="s">
        <v>75</v>
      </c>
      <c r="B92" s="64" t="s">
        <v>73</v>
      </c>
    </row>
    <row r="93" spans="1:11" ht="15" customHeight="1" x14ac:dyDescent="0.2">
      <c r="A93" s="64"/>
      <c r="B93" s="64"/>
    </row>
    <row r="94" spans="1:11" ht="15" customHeight="1" x14ac:dyDescent="0.2">
      <c r="A94" s="64"/>
      <c r="B94" s="64" t="s">
        <v>76</v>
      </c>
    </row>
    <row r="95" spans="1:11" ht="15" customHeight="1" x14ac:dyDescent="0.2">
      <c r="A95" s="64"/>
      <c r="B95" s="64"/>
      <c r="K95" s="90" t="s">
        <v>78</v>
      </c>
    </row>
    <row r="96" spans="1:11" ht="15" customHeight="1" x14ac:dyDescent="0.2">
      <c r="I96" s="38"/>
    </row>
    <row r="97" spans="2:18" ht="15" customHeight="1" x14ac:dyDescent="0.2">
      <c r="G97" s="368"/>
      <c r="H97" s="369" t="s">
        <v>35</v>
      </c>
      <c r="I97" s="38"/>
      <c r="J97" s="441" t="str">
        <f>IF($D$12="15 flsprs","ca% = stiff","ca% = aver")</f>
        <v>ca% = stiff</v>
      </c>
      <c r="M97" t="s">
        <v>94</v>
      </c>
    </row>
    <row r="98" spans="2:18" ht="15" customHeight="1" x14ac:dyDescent="0.2">
      <c r="B98" s="133"/>
      <c r="C98" s="313"/>
      <c r="D98" s="391" t="s">
        <v>56</v>
      </c>
      <c r="E98" s="391" t="s">
        <v>56</v>
      </c>
      <c r="F98" s="133"/>
      <c r="G98" s="370" t="s">
        <v>34</v>
      </c>
      <c r="H98" s="371" t="s">
        <v>285</v>
      </c>
      <c r="J98" s="404" t="s">
        <v>28</v>
      </c>
      <c r="K98" s="147"/>
      <c r="M98" s="404"/>
      <c r="N98" s="139" t="s">
        <v>79</v>
      </c>
    </row>
    <row r="99" spans="2:18" ht="15" customHeight="1" x14ac:dyDescent="0.2">
      <c r="B99" s="133"/>
      <c r="C99" s="117" t="s">
        <v>32</v>
      </c>
      <c r="D99" s="392" t="s">
        <v>33</v>
      </c>
      <c r="E99" s="392" t="s">
        <v>35</v>
      </c>
      <c r="F99" s="133" t="s">
        <v>28</v>
      </c>
      <c r="G99" s="370" t="s">
        <v>35</v>
      </c>
      <c r="H99" s="371" t="s">
        <v>286</v>
      </c>
      <c r="J99" s="483" t="str">
        <f>IF($D$12="15 flsprs","stiff","aver")</f>
        <v>stiff</v>
      </c>
      <c r="K99" s="148" t="s">
        <v>77</v>
      </c>
      <c r="M99" s="102" t="s">
        <v>52</v>
      </c>
      <c r="N99" s="514" t="s">
        <v>382</v>
      </c>
    </row>
    <row r="100" spans="2:18" ht="15" customHeight="1" x14ac:dyDescent="0.2">
      <c r="B100" s="133" t="s">
        <v>21</v>
      </c>
      <c r="C100" s="407" t="s">
        <v>53</v>
      </c>
      <c r="D100" s="252" t="s">
        <v>53</v>
      </c>
      <c r="E100" s="252" t="s">
        <v>160</v>
      </c>
      <c r="F100" s="367" t="s">
        <v>158</v>
      </c>
      <c r="G100" s="372" t="s">
        <v>53</v>
      </c>
      <c r="H100" s="373" t="s">
        <v>158</v>
      </c>
      <c r="J100" s="405" t="s">
        <v>74</v>
      </c>
      <c r="K100" s="406" t="s">
        <v>291</v>
      </c>
      <c r="M100" s="102" t="s">
        <v>36</v>
      </c>
      <c r="N100" s="140"/>
      <c r="O100" s="265" t="s">
        <v>128</v>
      </c>
      <c r="P100" s="38" t="s">
        <v>136</v>
      </c>
      <c r="Q100" s="214" t="s">
        <v>137</v>
      </c>
    </row>
    <row r="101" spans="2:18" ht="15" customHeight="1" x14ac:dyDescent="0.2">
      <c r="B101" s="106">
        <v>1</v>
      </c>
      <c r="C101" s="119">
        <f>D101+E101</f>
        <v>29.187285714285728</v>
      </c>
      <c r="D101" s="119">
        <f t="shared" ref="D101:D110" si="12">I78</f>
        <v>28.60428571428573</v>
      </c>
      <c r="E101" s="118">
        <v>0.58299999999999996</v>
      </c>
      <c r="F101" s="152">
        <f>E101/C101</f>
        <v>1.997445071484158E-2</v>
      </c>
      <c r="G101" s="374">
        <f t="shared" ref="G101:G110" si="13">G30</f>
        <v>1.25</v>
      </c>
      <c r="H101" s="375">
        <f>E101-G101</f>
        <v>-0.66700000000000004</v>
      </c>
      <c r="J101" s="484">
        <f>IF($D$12="15 flsprs",C30/100,E30/100)</f>
        <v>0.02</v>
      </c>
      <c r="K101" s="150">
        <f t="shared" ref="K101:K110" si="14">J101-F101</f>
        <v>2.5549285158420892E-5</v>
      </c>
      <c r="M101" s="402">
        <f t="shared" ref="M101:M110" si="15">C101/D101</f>
        <v>1.0203815612046145</v>
      </c>
      <c r="N101" s="143">
        <f t="shared" ref="N101:N110" si="16">D101*M101</f>
        <v>29.187285714285725</v>
      </c>
      <c r="O101" s="287">
        <f t="shared" ref="O101:O110" si="17">N101-C101</f>
        <v>0</v>
      </c>
      <c r="P101" s="288">
        <f t="shared" ref="P101:P110" si="18">J101/F101</f>
        <v>1.0012790982602309</v>
      </c>
      <c r="Q101" s="289">
        <f t="shared" ref="Q101:Q110" si="19">P101*E101</f>
        <v>0.58374571428571453</v>
      </c>
      <c r="R101" s="267" t="s">
        <v>200</v>
      </c>
    </row>
    <row r="102" spans="2:18" ht="15" customHeight="1" x14ac:dyDescent="0.2">
      <c r="B102" s="106">
        <v>2</v>
      </c>
      <c r="C102" s="120">
        <f t="shared" ref="C102:C110" si="20">D102+E102</f>
        <v>56.439857142857122</v>
      </c>
      <c r="D102" s="120">
        <f t="shared" si="12"/>
        <v>54.182857142857124</v>
      </c>
      <c r="E102" s="118">
        <v>2.2570000000000001</v>
      </c>
      <c r="F102" s="153">
        <f t="shared" ref="F102:F110" si="21">E102/C102</f>
        <v>3.9989470460338329E-2</v>
      </c>
      <c r="G102" s="376">
        <f t="shared" si="13"/>
        <v>3.25</v>
      </c>
      <c r="H102" s="377">
        <f t="shared" ref="H102:H110" si="22">E102-G102</f>
        <v>-0.99299999999999988</v>
      </c>
      <c r="J102" s="484">
        <f t="shared" ref="J102:J110" si="23">IF($D$12="15 flsprs",C31/100,E31/100)</f>
        <v>0.04</v>
      </c>
      <c r="K102" s="150">
        <f t="shared" si="14"/>
        <v>1.0529539661671694E-5</v>
      </c>
      <c r="M102" s="402">
        <f t="shared" si="15"/>
        <v>1.0416552415102298</v>
      </c>
      <c r="N102" s="144">
        <f t="shared" si="16"/>
        <v>56.439857142857115</v>
      </c>
      <c r="O102" s="287">
        <f t="shared" si="17"/>
        <v>0</v>
      </c>
      <c r="P102" s="288">
        <f t="shared" si="18"/>
        <v>1.0002633078042911</v>
      </c>
      <c r="Q102" s="290">
        <f t="shared" si="19"/>
        <v>2.2575942857142852</v>
      </c>
      <c r="R102" s="267" t="s">
        <v>312</v>
      </c>
    </row>
    <row r="103" spans="2:18" ht="15" customHeight="1" x14ac:dyDescent="0.2">
      <c r="B103" s="106">
        <v>3</v>
      </c>
      <c r="C103" s="121">
        <f t="shared" si="20"/>
        <v>79.484714285714276</v>
      </c>
      <c r="D103" s="121">
        <f t="shared" si="12"/>
        <v>74.875714285714281</v>
      </c>
      <c r="E103" s="118">
        <v>4.609</v>
      </c>
      <c r="F103" s="154">
        <f t="shared" si="21"/>
        <v>5.7985991915786149E-2</v>
      </c>
      <c r="G103" s="378">
        <f t="shared" si="13"/>
        <v>5.8</v>
      </c>
      <c r="H103" s="379">
        <f t="shared" si="22"/>
        <v>-1.1909999999999998</v>
      </c>
      <c r="J103" s="484">
        <f t="shared" si="23"/>
        <v>5.7999999999999996E-2</v>
      </c>
      <c r="K103" s="150">
        <f t="shared" si="14"/>
        <v>1.4008084213847083E-5</v>
      </c>
      <c r="M103" s="402">
        <f t="shared" si="15"/>
        <v>1.0615553393242134</v>
      </c>
      <c r="N103" s="145">
        <f t="shared" si="16"/>
        <v>79.484714285714276</v>
      </c>
      <c r="O103" s="287">
        <f t="shared" si="17"/>
        <v>0</v>
      </c>
      <c r="P103" s="288">
        <f t="shared" si="18"/>
        <v>1.000241577038713</v>
      </c>
      <c r="Q103" s="288">
        <f t="shared" si="19"/>
        <v>4.6101134285714283</v>
      </c>
      <c r="R103" s="267" t="s">
        <v>143</v>
      </c>
    </row>
    <row r="104" spans="2:18" ht="15" customHeight="1" x14ac:dyDescent="0.2">
      <c r="B104" s="106">
        <v>4</v>
      </c>
      <c r="C104" s="121">
        <f t="shared" si="20"/>
        <v>99.773857142857153</v>
      </c>
      <c r="D104" s="121">
        <f t="shared" si="12"/>
        <v>92.282857142857154</v>
      </c>
      <c r="E104" s="118">
        <v>7.4909999999999997</v>
      </c>
      <c r="F104" s="154">
        <f t="shared" si="21"/>
        <v>7.5079787576762869E-2</v>
      </c>
      <c r="G104" s="378">
        <f t="shared" si="13"/>
        <v>8.4</v>
      </c>
      <c r="H104" s="379">
        <f t="shared" si="22"/>
        <v>-0.9090000000000007</v>
      </c>
      <c r="J104" s="484">
        <f t="shared" si="23"/>
        <v>7.51E-2</v>
      </c>
      <c r="K104" s="150">
        <f t="shared" si="14"/>
        <v>2.021242323713146E-5</v>
      </c>
      <c r="M104" s="402">
        <f t="shared" si="15"/>
        <v>1.0811743397628411</v>
      </c>
      <c r="N104" s="145">
        <f t="shared" si="16"/>
        <v>99.773857142857167</v>
      </c>
      <c r="O104" s="287">
        <f t="shared" si="17"/>
        <v>0</v>
      </c>
      <c r="P104" s="288">
        <f t="shared" si="18"/>
        <v>1.0002692125789043</v>
      </c>
      <c r="Q104" s="288">
        <f t="shared" si="19"/>
        <v>7.4930166714285722</v>
      </c>
      <c r="R104" s="88" t="s">
        <v>142</v>
      </c>
    </row>
    <row r="105" spans="2:18" ht="15" customHeight="1" x14ac:dyDescent="0.2">
      <c r="B105" s="106">
        <v>5</v>
      </c>
      <c r="C105" s="120">
        <f t="shared" si="20"/>
        <v>118.68328571428572</v>
      </c>
      <c r="D105" s="120">
        <f t="shared" si="12"/>
        <v>108.00428571428571</v>
      </c>
      <c r="E105" s="118">
        <v>10.679</v>
      </c>
      <c r="F105" s="153">
        <f t="shared" si="21"/>
        <v>8.9978971644821812E-2</v>
      </c>
      <c r="G105" s="376">
        <f t="shared" si="13"/>
        <v>10.95</v>
      </c>
      <c r="H105" s="377">
        <f t="shared" si="22"/>
        <v>-0.27099999999999902</v>
      </c>
      <c r="J105" s="484">
        <f t="shared" si="23"/>
        <v>0.09</v>
      </c>
      <c r="K105" s="150">
        <f t="shared" si="14"/>
        <v>2.1028355178184799E-5</v>
      </c>
      <c r="M105" s="402">
        <f t="shared" si="15"/>
        <v>1.098875705990503</v>
      </c>
      <c r="N105" s="144">
        <f t="shared" si="16"/>
        <v>118.68328571428572</v>
      </c>
      <c r="O105" s="287">
        <f t="shared" si="17"/>
        <v>0</v>
      </c>
      <c r="P105" s="288">
        <f t="shared" si="18"/>
        <v>1.0002337029951975</v>
      </c>
      <c r="Q105" s="290">
        <f t="shared" si="19"/>
        <v>10.681495714285715</v>
      </c>
    </row>
    <row r="106" spans="2:18" ht="15" customHeight="1" x14ac:dyDescent="0.2">
      <c r="B106" s="106">
        <v>10</v>
      </c>
      <c r="C106" s="121">
        <f t="shared" si="20"/>
        <v>198.83485714285715</v>
      </c>
      <c r="D106" s="121">
        <f t="shared" si="12"/>
        <v>175.95785714285714</v>
      </c>
      <c r="E106" s="118">
        <v>22.876999999999999</v>
      </c>
      <c r="F106" s="154">
        <f t="shared" si="21"/>
        <v>0.11505527918358666</v>
      </c>
      <c r="G106" s="378">
        <f t="shared" si="13"/>
        <v>22.85</v>
      </c>
      <c r="H106" s="379">
        <f t="shared" si="22"/>
        <v>2.699999999999747E-2</v>
      </c>
      <c r="J106" s="484">
        <f t="shared" si="23"/>
        <v>0.11509999999999999</v>
      </c>
      <c r="K106" s="150">
        <f t="shared" si="14"/>
        <v>4.4720816413337805E-5</v>
      </c>
      <c r="M106" s="402">
        <f t="shared" si="15"/>
        <v>1.1300140861651127</v>
      </c>
      <c r="N106" s="145">
        <f t="shared" si="16"/>
        <v>198.83485714285715</v>
      </c>
      <c r="O106" s="287">
        <f t="shared" si="17"/>
        <v>0</v>
      </c>
      <c r="P106" s="288">
        <f t="shared" si="18"/>
        <v>1.0003886898257139</v>
      </c>
      <c r="Q106" s="288">
        <f t="shared" si="19"/>
        <v>22.885892057142858</v>
      </c>
    </row>
    <row r="107" spans="2:18" ht="15" customHeight="1" x14ac:dyDescent="0.2">
      <c r="B107" s="106">
        <v>20</v>
      </c>
      <c r="C107" s="121">
        <f t="shared" si="20"/>
        <v>332.08557142857137</v>
      </c>
      <c r="D107" s="121">
        <f t="shared" si="12"/>
        <v>288.91857142857134</v>
      </c>
      <c r="E107" s="118">
        <v>43.167000000000002</v>
      </c>
      <c r="F107" s="154">
        <f t="shared" si="21"/>
        <v>0.12998758065369556</v>
      </c>
      <c r="G107" s="378">
        <f t="shared" si="13"/>
        <v>41.8</v>
      </c>
      <c r="H107" s="379">
        <f t="shared" si="22"/>
        <v>1.3670000000000044</v>
      </c>
      <c r="J107" s="484">
        <f t="shared" si="23"/>
        <v>0.13</v>
      </c>
      <c r="K107" s="150">
        <f t="shared" si="14"/>
        <v>1.241934630444308E-5</v>
      </c>
      <c r="M107" s="402">
        <f t="shared" si="15"/>
        <v>1.1494088794173347</v>
      </c>
      <c r="N107" s="145">
        <f t="shared" si="16"/>
        <v>332.08557142857137</v>
      </c>
      <c r="O107" s="287">
        <f t="shared" si="17"/>
        <v>0</v>
      </c>
      <c r="P107" s="288">
        <f t="shared" si="18"/>
        <v>1.0000955425606199</v>
      </c>
      <c r="Q107" s="288">
        <f t="shared" si="19"/>
        <v>43.171124285714285</v>
      </c>
    </row>
    <row r="108" spans="2:18" ht="15" customHeight="1" x14ac:dyDescent="0.2">
      <c r="B108" s="106">
        <v>30</v>
      </c>
      <c r="C108" s="121">
        <f>D108+E108</f>
        <v>453.32314285714278</v>
      </c>
      <c r="D108" s="121">
        <f t="shared" si="12"/>
        <v>394.3971428571428</v>
      </c>
      <c r="E108" s="118">
        <v>58.926000000000002</v>
      </c>
      <c r="F108" s="154">
        <f t="shared" si="21"/>
        <v>0.12998674550037156</v>
      </c>
      <c r="G108" s="378">
        <f t="shared" si="13"/>
        <v>57.6</v>
      </c>
      <c r="H108" s="379">
        <f t="shared" si="22"/>
        <v>1.3260000000000005</v>
      </c>
      <c r="J108" s="484">
        <f t="shared" si="23"/>
        <v>0.13</v>
      </c>
      <c r="K108" s="150">
        <f t="shared" si="14"/>
        <v>1.3254499628440053E-5</v>
      </c>
      <c r="M108" s="402">
        <f t="shared" si="15"/>
        <v>1.1494077760632864</v>
      </c>
      <c r="N108" s="145">
        <f t="shared" si="16"/>
        <v>453.32314285714273</v>
      </c>
      <c r="O108" s="287">
        <f t="shared" si="17"/>
        <v>0</v>
      </c>
      <c r="P108" s="288">
        <f t="shared" si="18"/>
        <v>1.00010196808588</v>
      </c>
      <c r="Q108" s="288">
        <f t="shared" si="19"/>
        <v>58.932008571428568</v>
      </c>
    </row>
    <row r="109" spans="2:18" ht="15" customHeight="1" x14ac:dyDescent="0.2">
      <c r="B109" s="106">
        <v>40</v>
      </c>
      <c r="C109" s="121">
        <f t="shared" si="20"/>
        <v>564.7235714285714</v>
      </c>
      <c r="D109" s="121">
        <f t="shared" si="12"/>
        <v>491.31857142857143</v>
      </c>
      <c r="E109" s="118">
        <v>73.405000000000001</v>
      </c>
      <c r="F109" s="154">
        <f t="shared" si="21"/>
        <v>0.1299839491634972</v>
      </c>
      <c r="G109" s="378">
        <f t="shared" si="13"/>
        <v>72.199999999999989</v>
      </c>
      <c r="H109" s="379">
        <f t="shared" si="22"/>
        <v>1.2050000000000125</v>
      </c>
      <c r="J109" s="484">
        <f t="shared" si="23"/>
        <v>0.13</v>
      </c>
      <c r="K109" s="150">
        <f t="shared" si="14"/>
        <v>1.6050836502801147E-5</v>
      </c>
      <c r="M109" s="402">
        <f t="shared" si="15"/>
        <v>1.1494040817275959</v>
      </c>
      <c r="N109" s="145">
        <f t="shared" si="16"/>
        <v>564.7235714285714</v>
      </c>
      <c r="O109" s="287">
        <f t="shared" si="17"/>
        <v>0</v>
      </c>
      <c r="P109" s="288">
        <f t="shared" si="18"/>
        <v>1.0001234832193213</v>
      </c>
      <c r="Q109" s="288">
        <f t="shared" si="19"/>
        <v>73.414064285714289</v>
      </c>
    </row>
    <row r="110" spans="2:18" ht="15" customHeight="1" x14ac:dyDescent="0.2">
      <c r="B110" s="106">
        <v>50</v>
      </c>
      <c r="C110" s="120">
        <f t="shared" si="20"/>
        <v>665.07385714285704</v>
      </c>
      <c r="D110" s="120">
        <f t="shared" si="12"/>
        <v>578.60785714285703</v>
      </c>
      <c r="E110" s="118">
        <v>86.465999999999994</v>
      </c>
      <c r="F110" s="153">
        <f t="shared" si="21"/>
        <v>0.13000962084339937</v>
      </c>
      <c r="G110" s="380">
        <f t="shared" si="13"/>
        <v>85.1</v>
      </c>
      <c r="H110" s="381">
        <f t="shared" si="22"/>
        <v>1.3659999999999997</v>
      </c>
      <c r="J110" s="485">
        <f t="shared" si="23"/>
        <v>0.13</v>
      </c>
      <c r="K110" s="151">
        <f t="shared" si="14"/>
        <v>-9.6208433993660858E-6</v>
      </c>
      <c r="M110" s="403">
        <f t="shared" si="15"/>
        <v>1.1494379983482521</v>
      </c>
      <c r="N110" s="146">
        <f t="shared" si="16"/>
        <v>665.07385714285704</v>
      </c>
      <c r="O110" s="287">
        <f t="shared" si="17"/>
        <v>0</v>
      </c>
      <c r="P110" s="288">
        <f t="shared" si="18"/>
        <v>0.99992599898886747</v>
      </c>
      <c r="Q110" s="290">
        <f t="shared" si="19"/>
        <v>86.459601428571403</v>
      </c>
    </row>
    <row r="111" spans="2:18" ht="15" customHeight="1" x14ac:dyDescent="0.2">
      <c r="K111" s="38"/>
    </row>
    <row r="112" spans="2:18" ht="15" customHeight="1" x14ac:dyDescent="0.2">
      <c r="K112" s="38"/>
    </row>
    <row r="113" spans="1:32" ht="15" customHeight="1" x14ac:dyDescent="0.2">
      <c r="A113" s="90" t="s">
        <v>80</v>
      </c>
      <c r="B113" s="64" t="s">
        <v>81</v>
      </c>
      <c r="I113" s="38"/>
    </row>
    <row r="114" spans="1:32" ht="15" customHeight="1" x14ac:dyDescent="0.2">
      <c r="A114" s="90"/>
      <c r="B114" s="28" t="s">
        <v>190</v>
      </c>
      <c r="I114" s="38"/>
    </row>
    <row r="115" spans="1:32" ht="15" customHeight="1" x14ac:dyDescent="0.2">
      <c r="A115" s="90"/>
      <c r="B115" s="28" t="s">
        <v>189</v>
      </c>
      <c r="I115" s="38"/>
    </row>
    <row r="116" spans="1:32" ht="15" customHeight="1" x14ac:dyDescent="0.2">
      <c r="A116" s="90"/>
      <c r="B116" s="28" t="s">
        <v>188</v>
      </c>
      <c r="I116" s="38"/>
    </row>
    <row r="117" spans="1:32" ht="15" customHeight="1" x14ac:dyDescent="0.2">
      <c r="A117" s="90"/>
      <c r="B117" s="28" t="s">
        <v>187</v>
      </c>
      <c r="I117" s="38"/>
      <c r="P117" s="28" t="s">
        <v>349</v>
      </c>
      <c r="Q117" s="37">
        <f>(69+73)/2</f>
        <v>71</v>
      </c>
    </row>
    <row r="118" spans="1:32" ht="15" customHeight="1" x14ac:dyDescent="0.2">
      <c r="A118" s="90"/>
      <c r="B118" s="28" t="s">
        <v>191</v>
      </c>
      <c r="I118" s="38"/>
      <c r="P118" t="s">
        <v>350</v>
      </c>
      <c r="Q118" s="37">
        <f>(73+77)/2</f>
        <v>75</v>
      </c>
    </row>
    <row r="119" spans="1:32" ht="15" customHeight="1" x14ac:dyDescent="0.2">
      <c r="A119" s="90"/>
      <c r="B119" s="28" t="s">
        <v>192</v>
      </c>
      <c r="I119" s="38"/>
    </row>
    <row r="120" spans="1:32" ht="15" customHeight="1" x14ac:dyDescent="0.2">
      <c r="B120" s="28" t="s">
        <v>193</v>
      </c>
      <c r="I120" s="38"/>
    </row>
    <row r="121" spans="1:32" ht="15" customHeight="1" x14ac:dyDescent="0.2">
      <c r="B121" s="28" t="s">
        <v>164</v>
      </c>
      <c r="I121" s="38"/>
    </row>
    <row r="122" spans="1:32" ht="15" customHeight="1" x14ac:dyDescent="0.2">
      <c r="I122" s="441" t="s">
        <v>379</v>
      </c>
      <c r="P122" s="308" t="s">
        <v>154</v>
      </c>
    </row>
    <row r="123" spans="1:32" ht="15" customHeight="1" x14ac:dyDescent="0.2">
      <c r="I123" s="441" t="str">
        <f>IF($B$12="12sxf450-psh","calc gas force = 73c, linear = 77","calc gas force = 69c, linear = 73")</f>
        <v>calc gas force = 73c, linear = 77</v>
      </c>
      <c r="M123" s="307" t="s">
        <v>152</v>
      </c>
    </row>
    <row r="124" spans="1:32" ht="15" customHeight="1" x14ac:dyDescent="0.2">
      <c r="D124" s="214" t="s">
        <v>163</v>
      </c>
      <c r="I124" s="38"/>
      <c r="P124" t="s">
        <v>351</v>
      </c>
    </row>
    <row r="125" spans="1:32" ht="15" customHeight="1" x14ac:dyDescent="0.2">
      <c r="F125" s="38"/>
      <c r="G125" s="38"/>
      <c r="H125" s="38"/>
      <c r="I125" s="38"/>
      <c r="J125" s="359" t="s">
        <v>269</v>
      </c>
      <c r="K125" s="214"/>
      <c r="M125" s="117" t="s">
        <v>194</v>
      </c>
      <c r="O125" s="38"/>
      <c r="P125" s="503" t="s">
        <v>374</v>
      </c>
      <c r="Q125" s="38"/>
      <c r="V125" s="38">
        <v>3171</v>
      </c>
      <c r="W125" s="38">
        <v>3304</v>
      </c>
      <c r="Z125" s="38">
        <v>3171</v>
      </c>
      <c r="AA125" s="38">
        <v>3304</v>
      </c>
      <c r="AD125" s="38">
        <v>3171</v>
      </c>
      <c r="AE125" s="38">
        <v>3304</v>
      </c>
    </row>
    <row r="126" spans="1:32" ht="15" customHeight="1" x14ac:dyDescent="0.2">
      <c r="B126" s="116"/>
      <c r="C126" s="91" t="s">
        <v>56</v>
      </c>
      <c r="D126" s="91" t="s">
        <v>56</v>
      </c>
      <c r="E126" s="205" t="s">
        <v>56</v>
      </c>
      <c r="F126" s="199" t="s">
        <v>56</v>
      </c>
      <c r="G126" s="199" t="s">
        <v>56</v>
      </c>
      <c r="H126" s="253" t="str">
        <f>J99</f>
        <v>stiff</v>
      </c>
      <c r="I126" s="117" t="s">
        <v>34</v>
      </c>
      <c r="J126" s="309" t="s">
        <v>103</v>
      </c>
      <c r="K126" s="309" t="s">
        <v>104</v>
      </c>
      <c r="L126" s="91" t="s">
        <v>22</v>
      </c>
      <c r="M126" s="117" t="s">
        <v>22</v>
      </c>
      <c r="O126" s="91" t="s">
        <v>34</v>
      </c>
      <c r="P126" s="91" t="s">
        <v>34</v>
      </c>
      <c r="Q126" s="205" t="s">
        <v>34</v>
      </c>
      <c r="R126" s="426" t="s">
        <v>290</v>
      </c>
      <c r="S126" s="427" t="s">
        <v>289</v>
      </c>
      <c r="V126" s="91" t="s">
        <v>34</v>
      </c>
      <c r="W126" s="91" t="s">
        <v>34</v>
      </c>
      <c r="Z126" s="91" t="s">
        <v>34</v>
      </c>
      <c r="AA126" s="91" t="s">
        <v>34</v>
      </c>
      <c r="AD126" s="205" t="s">
        <v>34</v>
      </c>
      <c r="AE126" s="205" t="s">
        <v>34</v>
      </c>
    </row>
    <row r="127" spans="1:32" ht="15" customHeight="1" x14ac:dyDescent="0.2">
      <c r="B127" s="116"/>
      <c r="C127" s="95" t="s">
        <v>40</v>
      </c>
      <c r="D127" s="84" t="s">
        <v>41</v>
      </c>
      <c r="E127" s="117" t="s">
        <v>32</v>
      </c>
      <c r="F127" s="104" t="s">
        <v>33</v>
      </c>
      <c r="G127" s="104" t="s">
        <v>35</v>
      </c>
      <c r="H127" s="253" t="s">
        <v>28</v>
      </c>
      <c r="I127" s="309" t="s">
        <v>155</v>
      </c>
      <c r="J127" s="309" t="s">
        <v>155</v>
      </c>
      <c r="K127" s="309" t="s">
        <v>162</v>
      </c>
      <c r="L127" s="95" t="s">
        <v>156</v>
      </c>
      <c r="M127" s="117" t="s">
        <v>155</v>
      </c>
      <c r="O127" s="95" t="s">
        <v>155</v>
      </c>
      <c r="P127" s="95" t="s">
        <v>156</v>
      </c>
      <c r="Q127" s="401" t="s">
        <v>41</v>
      </c>
      <c r="R127" s="428" t="s">
        <v>287</v>
      </c>
      <c r="S127" s="429" t="s">
        <v>35</v>
      </c>
      <c r="V127" s="95" t="s">
        <v>155</v>
      </c>
      <c r="W127" s="95" t="s">
        <v>155</v>
      </c>
      <c r="Z127" s="95" t="s">
        <v>156</v>
      </c>
      <c r="AA127" s="95" t="s">
        <v>156</v>
      </c>
      <c r="AD127" s="401" t="s">
        <v>41</v>
      </c>
      <c r="AE127" s="401" t="s">
        <v>41</v>
      </c>
    </row>
    <row r="128" spans="1:32" ht="15" customHeight="1" x14ac:dyDescent="0.2">
      <c r="B128" s="116" t="s">
        <v>21</v>
      </c>
      <c r="C128" s="113" t="s">
        <v>158</v>
      </c>
      <c r="D128" s="113" t="s">
        <v>158</v>
      </c>
      <c r="E128" s="113" t="s">
        <v>158</v>
      </c>
      <c r="F128" s="252" t="s">
        <v>53</v>
      </c>
      <c r="G128" s="252" t="s">
        <v>53</v>
      </c>
      <c r="H128" s="312" t="s">
        <v>158</v>
      </c>
      <c r="I128" s="113" t="s">
        <v>157</v>
      </c>
      <c r="J128" s="113" t="s">
        <v>161</v>
      </c>
      <c r="K128" s="113" t="s">
        <v>158</v>
      </c>
      <c r="L128" s="418" t="s">
        <v>161</v>
      </c>
      <c r="M128" s="113" t="s">
        <v>161</v>
      </c>
      <c r="O128" s="113" t="s">
        <v>157</v>
      </c>
      <c r="P128" s="418" t="s">
        <v>157</v>
      </c>
      <c r="Q128" s="206" t="s">
        <v>157</v>
      </c>
      <c r="R128" s="430" t="s">
        <v>288</v>
      </c>
      <c r="S128" s="431" t="s">
        <v>316</v>
      </c>
      <c r="V128" s="113" t="s">
        <v>157</v>
      </c>
      <c r="W128" s="113" t="s">
        <v>157</v>
      </c>
      <c r="X128" s="113" t="s">
        <v>352</v>
      </c>
      <c r="Z128" s="418" t="s">
        <v>157</v>
      </c>
      <c r="AA128" s="418" t="s">
        <v>157</v>
      </c>
      <c r="AB128" s="113" t="s">
        <v>352</v>
      </c>
      <c r="AD128" s="206" t="s">
        <v>157</v>
      </c>
      <c r="AE128" s="206" t="s">
        <v>157</v>
      </c>
      <c r="AF128" s="113" t="s">
        <v>352</v>
      </c>
    </row>
    <row r="129" spans="1:32" ht="15" customHeight="1" x14ac:dyDescent="0.2">
      <c r="B129" s="106">
        <v>1</v>
      </c>
      <c r="C129" s="119">
        <f>(D129-J129)</f>
        <v>47.53728571428573</v>
      </c>
      <c r="D129" s="119">
        <f>(F129+G129+J129+K129+L129)</f>
        <v>118.53728571428573</v>
      </c>
      <c r="E129" s="119">
        <f>F129+G129</f>
        <v>29.187285714285728</v>
      </c>
      <c r="F129" s="119">
        <f t="shared" ref="F129:G138" si="24">D101</f>
        <v>28.60428571428573</v>
      </c>
      <c r="G129" s="175">
        <f t="shared" si="24"/>
        <v>0.58299999999999996</v>
      </c>
      <c r="H129" s="155">
        <f>G129/E129</f>
        <v>1.997445071484158E-2</v>
      </c>
      <c r="I129" s="119">
        <f>O129</f>
        <v>75.849999999999994</v>
      </c>
      <c r="J129" s="241">
        <v>71</v>
      </c>
      <c r="K129" s="541">
        <v>4</v>
      </c>
      <c r="L129" s="513">
        <f>P129</f>
        <v>14.350000000000001</v>
      </c>
      <c r="M129" s="497">
        <v>75</v>
      </c>
      <c r="O129" s="508">
        <f>X129</f>
        <v>75.849999999999994</v>
      </c>
      <c r="P129" s="494">
        <f>AB129</f>
        <v>14.350000000000001</v>
      </c>
      <c r="Q129" s="509">
        <f>AF129</f>
        <v>120</v>
      </c>
      <c r="R129" s="432">
        <f>D129-Q129</f>
        <v>-1.4627142857142701</v>
      </c>
      <c r="S129" s="433">
        <f>G129-G30</f>
        <v>-0.66700000000000004</v>
      </c>
      <c r="V129" s="417">
        <v>77.900000000000006</v>
      </c>
      <c r="W129" s="417">
        <v>73.8</v>
      </c>
      <c r="X129" s="184">
        <f>SUM(V129:W129)/2</f>
        <v>75.849999999999994</v>
      </c>
      <c r="Z129" s="420">
        <v>14.8</v>
      </c>
      <c r="AA129" s="420">
        <v>13.9</v>
      </c>
      <c r="AB129" s="184">
        <f>SUM(Z129:AA129)/2</f>
        <v>14.350000000000001</v>
      </c>
      <c r="AD129" s="422">
        <v>121</v>
      </c>
      <c r="AE129" s="422">
        <v>119</v>
      </c>
      <c r="AF129" s="184">
        <f>SUM(AD129:AE129)/2</f>
        <v>120</v>
      </c>
    </row>
    <row r="130" spans="1:32" ht="15" customHeight="1" x14ac:dyDescent="0.2">
      <c r="B130" s="106">
        <v>2</v>
      </c>
      <c r="C130" s="120">
        <f t="shared" ref="C130:C137" si="25">(D130-J130)</f>
        <v>74.78985714285713</v>
      </c>
      <c r="D130" s="120">
        <f t="shared" ref="D130:D138" si="26">(F130+G130+J130+K130+L130)</f>
        <v>145.78985714285713</v>
      </c>
      <c r="E130" s="120">
        <f t="shared" ref="E130:E135" si="27">F130+G130</f>
        <v>56.439857142857122</v>
      </c>
      <c r="F130" s="120">
        <f t="shared" si="24"/>
        <v>54.182857142857124</v>
      </c>
      <c r="G130" s="176">
        <f t="shared" si="24"/>
        <v>2.2570000000000001</v>
      </c>
      <c r="H130" s="156">
        <f t="shared" ref="H130:H138" si="28">G130/E130</f>
        <v>3.9989470460338329E-2</v>
      </c>
      <c r="I130" s="120">
        <f t="shared" ref="I130:I138" si="29">O130</f>
        <v>75.650000000000006</v>
      </c>
      <c r="J130" s="317">
        <f>J129</f>
        <v>71</v>
      </c>
      <c r="K130" s="542">
        <v>4</v>
      </c>
      <c r="L130" s="498">
        <f>L129</f>
        <v>14.350000000000001</v>
      </c>
      <c r="M130" s="242">
        <v>75</v>
      </c>
      <c r="O130" s="510">
        <f t="shared" ref="O130:O138" si="30">X130</f>
        <v>75.650000000000006</v>
      </c>
      <c r="P130" s="511">
        <f t="shared" ref="P130:P138" si="31">AB130</f>
        <v>16.2</v>
      </c>
      <c r="Q130" s="510">
        <f t="shared" ref="Q130:Q138" si="32">AF130</f>
        <v>149.25</v>
      </c>
      <c r="R130" s="434">
        <f t="shared" ref="R130:R138" si="33">D130-Q130</f>
        <v>-3.4601428571428698</v>
      </c>
      <c r="S130" s="435">
        <f t="shared" ref="S130:S138" si="34">G130-G31</f>
        <v>-0.99299999999999988</v>
      </c>
      <c r="V130" s="242">
        <v>77.7</v>
      </c>
      <c r="W130" s="242">
        <v>73.599999999999994</v>
      </c>
      <c r="X130" s="184">
        <f t="shared" ref="X130:X138" si="35">SUM(V130:W130)/2</f>
        <v>75.650000000000006</v>
      </c>
      <c r="Z130" s="419">
        <v>16.2</v>
      </c>
      <c r="AA130" s="419">
        <v>16.2</v>
      </c>
      <c r="AB130" s="184">
        <f t="shared" ref="AB130:AB138" si="36">SUM(Z130:AA130)/2</f>
        <v>16.2</v>
      </c>
      <c r="AD130" s="423">
        <v>147.19999999999999</v>
      </c>
      <c r="AE130" s="423">
        <v>151.30000000000001</v>
      </c>
      <c r="AF130" s="184">
        <f t="shared" ref="AF130:AF138" si="37">SUM(AD130:AE130)/2</f>
        <v>149.25</v>
      </c>
    </row>
    <row r="131" spans="1:32" ht="15" customHeight="1" x14ac:dyDescent="0.2">
      <c r="B131" s="106">
        <v>3</v>
      </c>
      <c r="C131" s="121">
        <f t="shared" si="25"/>
        <v>97.834714285714284</v>
      </c>
      <c r="D131" s="121">
        <f t="shared" si="26"/>
        <v>168.83471428571428</v>
      </c>
      <c r="E131" s="121">
        <f t="shared" si="27"/>
        <v>79.484714285714276</v>
      </c>
      <c r="F131" s="121">
        <f t="shared" si="24"/>
        <v>74.875714285714281</v>
      </c>
      <c r="G131" s="177">
        <f t="shared" si="24"/>
        <v>4.609</v>
      </c>
      <c r="H131" s="157">
        <f t="shared" si="28"/>
        <v>5.7985991915786149E-2</v>
      </c>
      <c r="I131" s="121">
        <f t="shared" si="29"/>
        <v>75.349999999999994</v>
      </c>
      <c r="J131" s="318">
        <f t="shared" ref="J131:L138" si="38">J130</f>
        <v>71</v>
      </c>
      <c r="K131" s="543">
        <v>4</v>
      </c>
      <c r="L131" s="496">
        <f t="shared" si="38"/>
        <v>14.350000000000001</v>
      </c>
      <c r="M131" s="243">
        <v>75</v>
      </c>
      <c r="O131" s="512">
        <f t="shared" si="30"/>
        <v>75.349999999999994</v>
      </c>
      <c r="P131" s="512">
        <f t="shared" si="31"/>
        <v>17.149999999999999</v>
      </c>
      <c r="Q131" s="512">
        <f t="shared" si="32"/>
        <v>173.15</v>
      </c>
      <c r="R131" s="436">
        <f t="shared" si="33"/>
        <v>-4.3152857142857215</v>
      </c>
      <c r="S131" s="437">
        <f t="shared" si="34"/>
        <v>-1.1909999999999998</v>
      </c>
      <c r="V131" s="243">
        <v>77.400000000000006</v>
      </c>
      <c r="W131" s="243">
        <v>73.3</v>
      </c>
      <c r="X131" s="184">
        <f t="shared" si="35"/>
        <v>75.349999999999994</v>
      </c>
      <c r="Z131" s="243">
        <v>17.399999999999999</v>
      </c>
      <c r="AA131" s="243">
        <v>16.899999999999999</v>
      </c>
      <c r="AB131" s="184">
        <f t="shared" si="36"/>
        <v>17.149999999999999</v>
      </c>
      <c r="AD131" s="424">
        <v>169.8</v>
      </c>
      <c r="AE131" s="424">
        <v>176.5</v>
      </c>
      <c r="AF131" s="184">
        <f t="shared" si="37"/>
        <v>173.15</v>
      </c>
    </row>
    <row r="132" spans="1:32" ht="15" customHeight="1" x14ac:dyDescent="0.2">
      <c r="B132" s="106">
        <v>4</v>
      </c>
      <c r="C132" s="121">
        <f t="shared" si="25"/>
        <v>118.12385714285713</v>
      </c>
      <c r="D132" s="121">
        <f t="shared" si="26"/>
        <v>189.12385714285713</v>
      </c>
      <c r="E132" s="121">
        <f t="shared" si="27"/>
        <v>99.773857142857153</v>
      </c>
      <c r="F132" s="121">
        <f t="shared" si="24"/>
        <v>92.282857142857154</v>
      </c>
      <c r="G132" s="177">
        <f t="shared" si="24"/>
        <v>7.4909999999999997</v>
      </c>
      <c r="H132" s="157">
        <f t="shared" si="28"/>
        <v>7.5079787576762869E-2</v>
      </c>
      <c r="I132" s="121">
        <f t="shared" si="29"/>
        <v>75.300000000000011</v>
      </c>
      <c r="J132" s="318">
        <f t="shared" si="38"/>
        <v>71</v>
      </c>
      <c r="K132" s="543">
        <v>4</v>
      </c>
      <c r="L132" s="496">
        <f t="shared" si="38"/>
        <v>14.350000000000001</v>
      </c>
      <c r="M132" s="243">
        <v>75</v>
      </c>
      <c r="O132" s="512">
        <f t="shared" si="30"/>
        <v>75.300000000000011</v>
      </c>
      <c r="P132" s="512">
        <f t="shared" si="31"/>
        <v>16.600000000000001</v>
      </c>
      <c r="Q132" s="512">
        <f t="shared" si="32"/>
        <v>192.60000000000002</v>
      </c>
      <c r="R132" s="436">
        <f t="shared" si="33"/>
        <v>-3.4761428571428894</v>
      </c>
      <c r="S132" s="437">
        <f t="shared" si="34"/>
        <v>-0.9090000000000007</v>
      </c>
      <c r="V132" s="243">
        <v>77.2</v>
      </c>
      <c r="W132" s="243">
        <v>73.400000000000006</v>
      </c>
      <c r="X132" s="184">
        <f t="shared" si="35"/>
        <v>75.300000000000011</v>
      </c>
      <c r="Z132" s="243">
        <v>16.100000000000001</v>
      </c>
      <c r="AA132" s="243">
        <v>17.100000000000001</v>
      </c>
      <c r="AB132" s="184">
        <f t="shared" si="36"/>
        <v>16.600000000000001</v>
      </c>
      <c r="AD132" s="424">
        <v>188.9</v>
      </c>
      <c r="AE132" s="424">
        <v>196.3</v>
      </c>
      <c r="AF132" s="184">
        <f t="shared" si="37"/>
        <v>192.60000000000002</v>
      </c>
    </row>
    <row r="133" spans="1:32" ht="15" customHeight="1" x14ac:dyDescent="0.2">
      <c r="B133" s="106">
        <v>5</v>
      </c>
      <c r="C133" s="120">
        <f t="shared" si="25"/>
        <v>137.03328571428571</v>
      </c>
      <c r="D133" s="120">
        <f t="shared" si="26"/>
        <v>208.03328571428571</v>
      </c>
      <c r="E133" s="120">
        <f t="shared" si="27"/>
        <v>118.68328571428572</v>
      </c>
      <c r="F133" s="120">
        <f t="shared" si="24"/>
        <v>108.00428571428571</v>
      </c>
      <c r="G133" s="176">
        <f t="shared" si="24"/>
        <v>10.679</v>
      </c>
      <c r="H133" s="156">
        <f t="shared" si="28"/>
        <v>8.9978971644821812E-2</v>
      </c>
      <c r="I133" s="120">
        <f t="shared" si="29"/>
        <v>75.300000000000011</v>
      </c>
      <c r="J133" s="317">
        <f t="shared" si="38"/>
        <v>71</v>
      </c>
      <c r="K133" s="542">
        <v>4</v>
      </c>
      <c r="L133" s="495">
        <f t="shared" si="38"/>
        <v>14.350000000000001</v>
      </c>
      <c r="M133" s="242">
        <v>75</v>
      </c>
      <c r="O133" s="510">
        <f t="shared" si="30"/>
        <v>75.300000000000011</v>
      </c>
      <c r="P133" s="510">
        <f t="shared" si="31"/>
        <v>16.700000000000003</v>
      </c>
      <c r="Q133" s="510">
        <f t="shared" si="32"/>
        <v>211.95</v>
      </c>
      <c r="R133" s="434">
        <f t="shared" si="33"/>
        <v>-3.9167142857142778</v>
      </c>
      <c r="S133" s="435">
        <f t="shared" si="34"/>
        <v>-0.27099999999999902</v>
      </c>
      <c r="V133" s="242">
        <v>77.2</v>
      </c>
      <c r="W133" s="242">
        <v>73.400000000000006</v>
      </c>
      <c r="X133" s="184">
        <f t="shared" si="35"/>
        <v>75.300000000000011</v>
      </c>
      <c r="Z133" s="242">
        <v>16.100000000000001</v>
      </c>
      <c r="AA133" s="242">
        <v>17.3</v>
      </c>
      <c r="AB133" s="184">
        <f t="shared" si="36"/>
        <v>16.700000000000003</v>
      </c>
      <c r="AD133" s="423">
        <v>207.7</v>
      </c>
      <c r="AE133" s="423">
        <v>216.2</v>
      </c>
      <c r="AF133" s="184">
        <f t="shared" si="37"/>
        <v>211.95</v>
      </c>
    </row>
    <row r="134" spans="1:32" ht="15" customHeight="1" x14ac:dyDescent="0.2">
      <c r="B134" s="106">
        <v>10</v>
      </c>
      <c r="C134" s="121">
        <f t="shared" si="25"/>
        <v>217.18485714285714</v>
      </c>
      <c r="D134" s="121">
        <f t="shared" si="26"/>
        <v>288.18485714285714</v>
      </c>
      <c r="E134" s="121">
        <f t="shared" si="27"/>
        <v>198.83485714285715</v>
      </c>
      <c r="F134" s="121">
        <f t="shared" si="24"/>
        <v>175.95785714285714</v>
      </c>
      <c r="G134" s="177">
        <f t="shared" si="24"/>
        <v>22.876999999999999</v>
      </c>
      <c r="H134" s="157">
        <f t="shared" si="28"/>
        <v>0.11505527918358666</v>
      </c>
      <c r="I134" s="121">
        <f t="shared" si="29"/>
        <v>75.45</v>
      </c>
      <c r="J134" s="318">
        <f t="shared" si="38"/>
        <v>71</v>
      </c>
      <c r="K134" s="543">
        <v>4</v>
      </c>
      <c r="L134" s="496">
        <f t="shared" si="38"/>
        <v>14.350000000000001</v>
      </c>
      <c r="M134" s="243">
        <v>75</v>
      </c>
      <c r="O134" s="512">
        <f t="shared" si="30"/>
        <v>75.45</v>
      </c>
      <c r="P134" s="512">
        <f t="shared" si="31"/>
        <v>17.45</v>
      </c>
      <c r="Q134" s="512">
        <f t="shared" si="32"/>
        <v>291.64999999999998</v>
      </c>
      <c r="R134" s="436">
        <f t="shared" si="33"/>
        <v>-3.4651428571428369</v>
      </c>
      <c r="S134" s="437">
        <f t="shared" si="34"/>
        <v>2.699999999999747E-2</v>
      </c>
      <c r="V134" s="243">
        <v>77.400000000000006</v>
      </c>
      <c r="W134" s="243">
        <v>73.5</v>
      </c>
      <c r="X134" s="184">
        <f t="shared" si="35"/>
        <v>75.45</v>
      </c>
      <c r="Z134" s="243">
        <v>19.2</v>
      </c>
      <c r="AA134" s="243">
        <v>15.7</v>
      </c>
      <c r="AB134" s="184">
        <f t="shared" si="36"/>
        <v>17.45</v>
      </c>
      <c r="AD134" s="424">
        <v>287</v>
      </c>
      <c r="AE134" s="424">
        <v>296.3</v>
      </c>
      <c r="AF134" s="184">
        <f t="shared" si="37"/>
        <v>291.64999999999998</v>
      </c>
    </row>
    <row r="135" spans="1:32" ht="15" customHeight="1" x14ac:dyDescent="0.2">
      <c r="B135" s="106">
        <v>20</v>
      </c>
      <c r="C135" s="121">
        <f t="shared" si="25"/>
        <v>350.43557142857139</v>
      </c>
      <c r="D135" s="121">
        <f t="shared" si="26"/>
        <v>421.43557142857139</v>
      </c>
      <c r="E135" s="121">
        <f t="shared" si="27"/>
        <v>332.08557142857137</v>
      </c>
      <c r="F135" s="121">
        <f t="shared" si="24"/>
        <v>288.91857142857134</v>
      </c>
      <c r="G135" s="177">
        <f t="shared" si="24"/>
        <v>43.167000000000002</v>
      </c>
      <c r="H135" s="157">
        <f t="shared" si="28"/>
        <v>0.12998758065369556</v>
      </c>
      <c r="I135" s="121">
        <f t="shared" si="29"/>
        <v>75.400000000000006</v>
      </c>
      <c r="J135" s="318">
        <f t="shared" si="38"/>
        <v>71</v>
      </c>
      <c r="K135" s="543">
        <v>4</v>
      </c>
      <c r="L135" s="496">
        <f t="shared" si="38"/>
        <v>14.350000000000001</v>
      </c>
      <c r="M135" s="243">
        <v>75</v>
      </c>
      <c r="O135" s="512">
        <f t="shared" si="30"/>
        <v>75.400000000000006</v>
      </c>
      <c r="P135" s="512">
        <f t="shared" si="31"/>
        <v>18.55</v>
      </c>
      <c r="Q135" s="512">
        <f t="shared" si="32"/>
        <v>424.9</v>
      </c>
      <c r="R135" s="436">
        <f t="shared" si="33"/>
        <v>-3.4644285714285843</v>
      </c>
      <c r="S135" s="437">
        <f t="shared" si="34"/>
        <v>1.3670000000000044</v>
      </c>
      <c r="V135" s="243">
        <v>77.3</v>
      </c>
      <c r="W135" s="243">
        <v>73.5</v>
      </c>
      <c r="X135" s="184">
        <f t="shared" si="35"/>
        <v>75.400000000000006</v>
      </c>
      <c r="Z135" s="243">
        <v>23.7</v>
      </c>
      <c r="AA135" s="243">
        <v>13.4</v>
      </c>
      <c r="AB135" s="184">
        <f t="shared" si="36"/>
        <v>18.55</v>
      </c>
      <c r="AD135" s="424">
        <v>414.3</v>
      </c>
      <c r="AE135" s="424">
        <v>435.5</v>
      </c>
      <c r="AF135" s="184">
        <f t="shared" si="37"/>
        <v>424.9</v>
      </c>
    </row>
    <row r="136" spans="1:32" ht="15" customHeight="1" x14ac:dyDescent="0.2">
      <c r="B136" s="106">
        <v>30</v>
      </c>
      <c r="C136" s="121">
        <f t="shared" si="25"/>
        <v>471.67314285714281</v>
      </c>
      <c r="D136" s="121">
        <f t="shared" si="26"/>
        <v>542.67314285714281</v>
      </c>
      <c r="E136" s="121">
        <f>F136+G136</f>
        <v>453.32314285714278</v>
      </c>
      <c r="F136" s="121">
        <f t="shared" si="24"/>
        <v>394.3971428571428</v>
      </c>
      <c r="G136" s="177">
        <f t="shared" si="24"/>
        <v>58.926000000000002</v>
      </c>
      <c r="H136" s="157">
        <f t="shared" si="28"/>
        <v>0.12998674550037156</v>
      </c>
      <c r="I136" s="121">
        <f t="shared" si="29"/>
        <v>75.849999999999994</v>
      </c>
      <c r="J136" s="318">
        <f t="shared" si="38"/>
        <v>71</v>
      </c>
      <c r="K136" s="543">
        <v>4</v>
      </c>
      <c r="L136" s="496">
        <f t="shared" si="38"/>
        <v>14.350000000000001</v>
      </c>
      <c r="M136" s="243">
        <v>75</v>
      </c>
      <c r="O136" s="512">
        <f t="shared" si="30"/>
        <v>75.849999999999994</v>
      </c>
      <c r="P136" s="512">
        <f t="shared" si="31"/>
        <v>17.75</v>
      </c>
      <c r="Q136" s="512">
        <f t="shared" si="32"/>
        <v>545.25</v>
      </c>
      <c r="R136" s="436">
        <f t="shared" si="33"/>
        <v>-2.5768571428571931</v>
      </c>
      <c r="S136" s="437">
        <f t="shared" si="34"/>
        <v>1.3260000000000005</v>
      </c>
      <c r="V136" s="243">
        <v>77.900000000000006</v>
      </c>
      <c r="W136" s="243">
        <v>73.8</v>
      </c>
      <c r="X136" s="184">
        <f t="shared" si="35"/>
        <v>75.849999999999994</v>
      </c>
      <c r="Z136" s="243">
        <v>24.8</v>
      </c>
      <c r="AA136" s="243">
        <v>10.7</v>
      </c>
      <c r="AB136" s="184">
        <f t="shared" si="36"/>
        <v>17.75</v>
      </c>
      <c r="AD136" s="424">
        <v>524.9</v>
      </c>
      <c r="AE136" s="424">
        <v>565.6</v>
      </c>
      <c r="AF136" s="184">
        <f t="shared" si="37"/>
        <v>545.25</v>
      </c>
    </row>
    <row r="137" spans="1:32" ht="15" customHeight="1" x14ac:dyDescent="0.2">
      <c r="B137" s="106">
        <v>40</v>
      </c>
      <c r="C137" s="121">
        <f t="shared" si="25"/>
        <v>583.07357142857143</v>
      </c>
      <c r="D137" s="121">
        <f t="shared" si="26"/>
        <v>654.07357142857143</v>
      </c>
      <c r="E137" s="121">
        <f t="shared" ref="E137:E138" si="39">F137+G137</f>
        <v>564.7235714285714</v>
      </c>
      <c r="F137" s="121">
        <f t="shared" si="24"/>
        <v>491.31857142857143</v>
      </c>
      <c r="G137" s="177">
        <f t="shared" si="24"/>
        <v>73.405000000000001</v>
      </c>
      <c r="H137" s="157">
        <f t="shared" si="28"/>
        <v>0.1299839491634972</v>
      </c>
      <c r="I137" s="121">
        <f t="shared" si="29"/>
        <v>76.3</v>
      </c>
      <c r="J137" s="318">
        <f t="shared" si="38"/>
        <v>71</v>
      </c>
      <c r="K137" s="543">
        <v>4</v>
      </c>
      <c r="L137" s="496">
        <f t="shared" si="38"/>
        <v>14.350000000000001</v>
      </c>
      <c r="M137" s="243">
        <v>76</v>
      </c>
      <c r="O137" s="512">
        <f t="shared" si="30"/>
        <v>76.3</v>
      </c>
      <c r="P137" s="512">
        <f t="shared" si="31"/>
        <v>18.149999999999999</v>
      </c>
      <c r="Q137" s="512">
        <f t="shared" si="32"/>
        <v>658.15</v>
      </c>
      <c r="R137" s="436">
        <f t="shared" si="33"/>
        <v>-4.0764285714285506</v>
      </c>
      <c r="S137" s="437">
        <f t="shared" si="34"/>
        <v>1.2050000000000125</v>
      </c>
      <c r="V137" s="243">
        <v>78.3</v>
      </c>
      <c r="W137" s="243">
        <v>74.3</v>
      </c>
      <c r="X137" s="184">
        <f t="shared" si="35"/>
        <v>76.3</v>
      </c>
      <c r="Z137" s="243">
        <v>25.3</v>
      </c>
      <c r="AA137" s="243">
        <v>11</v>
      </c>
      <c r="AB137" s="184">
        <f t="shared" si="36"/>
        <v>18.149999999999999</v>
      </c>
      <c r="AD137" s="424">
        <v>628.9</v>
      </c>
      <c r="AE137" s="424">
        <v>687.4</v>
      </c>
      <c r="AF137" s="184">
        <f t="shared" si="37"/>
        <v>658.15</v>
      </c>
    </row>
    <row r="138" spans="1:32" ht="15" customHeight="1" thickBot="1" x14ac:dyDescent="0.25">
      <c r="B138" s="106">
        <v>50</v>
      </c>
      <c r="C138" s="120">
        <f>(D138-J138)</f>
        <v>683.42385714285706</v>
      </c>
      <c r="D138" s="120">
        <f t="shared" si="26"/>
        <v>754.42385714285706</v>
      </c>
      <c r="E138" s="120">
        <f t="shared" si="39"/>
        <v>665.07385714285704</v>
      </c>
      <c r="F138" s="120">
        <f t="shared" si="24"/>
        <v>578.60785714285703</v>
      </c>
      <c r="G138" s="176">
        <f t="shared" si="24"/>
        <v>86.465999999999994</v>
      </c>
      <c r="H138" s="156">
        <f t="shared" si="28"/>
        <v>0.13000962084339937</v>
      </c>
      <c r="I138" s="120">
        <f t="shared" si="29"/>
        <v>77.5</v>
      </c>
      <c r="J138" s="317">
        <f t="shared" si="38"/>
        <v>71</v>
      </c>
      <c r="K138" s="542">
        <v>4</v>
      </c>
      <c r="L138" s="495">
        <f t="shared" si="38"/>
        <v>14.350000000000001</v>
      </c>
      <c r="M138" s="242">
        <v>77</v>
      </c>
      <c r="O138" s="510">
        <f t="shared" si="30"/>
        <v>77.5</v>
      </c>
      <c r="P138" s="510">
        <f t="shared" si="31"/>
        <v>19.899999999999999</v>
      </c>
      <c r="Q138" s="510">
        <f t="shared" si="32"/>
        <v>761.05</v>
      </c>
      <c r="R138" s="438">
        <f t="shared" si="33"/>
        <v>-6.6261428571428951</v>
      </c>
      <c r="S138" s="439">
        <f t="shared" si="34"/>
        <v>1.3659999999999997</v>
      </c>
      <c r="V138" s="242">
        <v>79.599999999999994</v>
      </c>
      <c r="W138" s="242">
        <v>75.400000000000006</v>
      </c>
      <c r="X138" s="184">
        <f t="shared" si="35"/>
        <v>77.5</v>
      </c>
      <c r="Z138" s="242">
        <v>26.2</v>
      </c>
      <c r="AA138" s="242">
        <v>13.6</v>
      </c>
      <c r="AB138" s="184">
        <f t="shared" si="36"/>
        <v>19.899999999999999</v>
      </c>
      <c r="AD138" s="423">
        <v>718.8</v>
      </c>
      <c r="AE138" s="423">
        <v>803.3</v>
      </c>
      <c r="AF138" s="184">
        <f t="shared" si="37"/>
        <v>761.05</v>
      </c>
    </row>
    <row r="139" spans="1:32" ht="15" customHeight="1" x14ac:dyDescent="0.2">
      <c r="I139" s="38"/>
      <c r="J139" s="560"/>
      <c r="K139" s="561"/>
      <c r="L139" s="565"/>
      <c r="M139" s="565"/>
      <c r="N139" s="565"/>
      <c r="O139" s="572"/>
    </row>
    <row r="140" spans="1:32" ht="15" customHeight="1" thickBot="1" x14ac:dyDescent="0.25">
      <c r="I140" s="38"/>
      <c r="J140" s="568" t="s">
        <v>422</v>
      </c>
      <c r="K140" s="569"/>
      <c r="L140" s="573"/>
      <c r="M140" s="573"/>
      <c r="N140" s="573"/>
      <c r="O140" s="574"/>
    </row>
    <row r="141" spans="1:32" x14ac:dyDescent="0.2">
      <c r="A141" s="90" t="s">
        <v>82</v>
      </c>
      <c r="B141" s="64" t="s">
        <v>83</v>
      </c>
      <c r="I141" s="38"/>
    </row>
    <row r="142" spans="1:32" ht="15" customHeight="1" x14ac:dyDescent="0.2">
      <c r="N142" s="500" t="s">
        <v>377</v>
      </c>
    </row>
    <row r="143" spans="1:32" ht="15" customHeight="1" x14ac:dyDescent="0.2">
      <c r="B143" s="90" t="s">
        <v>91</v>
      </c>
      <c r="C143" s="40"/>
      <c r="I143" s="38"/>
    </row>
    <row r="144" spans="1:32" ht="15" customHeight="1" x14ac:dyDescent="0.2">
      <c r="B144" s="64" t="s">
        <v>92</v>
      </c>
      <c r="C144" s="40"/>
      <c r="D144" s="40"/>
      <c r="E144" s="40"/>
      <c r="F144" s="40"/>
      <c r="G144" s="40"/>
      <c r="H144" s="40"/>
      <c r="I144" s="40"/>
      <c r="J144" s="40"/>
      <c r="K144" s="40"/>
      <c r="L144" s="40"/>
      <c r="Q144" s="28" t="s">
        <v>168</v>
      </c>
    </row>
    <row r="145" spans="2:19" ht="15" customHeight="1" x14ac:dyDescent="0.2">
      <c r="B145" s="90" t="s">
        <v>93</v>
      </c>
      <c r="C145" s="40"/>
      <c r="D145" s="40"/>
      <c r="E145" s="40"/>
      <c r="F145" s="306" t="s">
        <v>153</v>
      </c>
      <c r="G145" s="40"/>
      <c r="H145" s="40"/>
      <c r="I145" s="28" t="s">
        <v>24</v>
      </c>
      <c r="J145" s="40"/>
      <c r="K145" s="40"/>
      <c r="Q145" s="28" t="s">
        <v>169</v>
      </c>
    </row>
    <row r="146" spans="2:19" ht="15" customHeight="1" x14ac:dyDescent="0.2">
      <c r="D146" s="56"/>
      <c r="H146" s="31" t="s">
        <v>11</v>
      </c>
      <c r="I146" s="32"/>
      <c r="J146" s="32"/>
      <c r="K146" s="33"/>
      <c r="L146" s="31" t="s">
        <v>16</v>
      </c>
      <c r="M146" s="32"/>
      <c r="N146" s="33"/>
      <c r="O146" s="84"/>
      <c r="P146" s="91" t="s">
        <v>56</v>
      </c>
      <c r="Q146" t="s">
        <v>117</v>
      </c>
    </row>
    <row r="147" spans="2:19" ht="15" customHeight="1" x14ac:dyDescent="0.2">
      <c r="C147" s="41"/>
      <c r="D147" s="57"/>
      <c r="F147" s="304" t="s">
        <v>84</v>
      </c>
      <c r="G147" s="301" t="s">
        <v>119</v>
      </c>
      <c r="H147" s="18" t="s">
        <v>12</v>
      </c>
      <c r="I147" s="159" t="s">
        <v>27</v>
      </c>
      <c r="J147" s="9"/>
      <c r="K147" s="10"/>
      <c r="L147" s="18" t="s">
        <v>17</v>
      </c>
      <c r="M147" s="159" t="s">
        <v>40</v>
      </c>
      <c r="N147" s="25"/>
      <c r="O147" s="84"/>
      <c r="P147" s="95" t="s">
        <v>40</v>
      </c>
      <c r="Q147" s="254" t="e">
        <f>P147/M147</f>
        <v>#DIV/0!</v>
      </c>
      <c r="R147" s="254" t="e">
        <f>G147*Q147</f>
        <v>#DIV/0!</v>
      </c>
      <c r="S147" s="267" t="s">
        <v>130</v>
      </c>
    </row>
    <row r="148" spans="2:19" ht="15" customHeight="1" x14ac:dyDescent="0.2">
      <c r="B148" s="256" t="s">
        <v>5</v>
      </c>
      <c r="C148" s="257"/>
      <c r="D148" s="258"/>
      <c r="E148" s="303" t="s">
        <v>21</v>
      </c>
      <c r="F148" s="305" t="s">
        <v>23</v>
      </c>
      <c r="G148" s="302" t="s">
        <v>120</v>
      </c>
      <c r="H148" s="20" t="s">
        <v>13</v>
      </c>
      <c r="I148" s="21" t="s">
        <v>14</v>
      </c>
      <c r="J148" s="1"/>
      <c r="K148" s="22"/>
      <c r="L148" s="20" t="s">
        <v>18</v>
      </c>
      <c r="M148" s="21" t="s">
        <v>19</v>
      </c>
      <c r="N148" s="13"/>
      <c r="O148" s="84" t="s">
        <v>21</v>
      </c>
      <c r="P148" s="113" t="s">
        <v>54</v>
      </c>
      <c r="Q148" s="265" t="s">
        <v>115</v>
      </c>
      <c r="R148" s="265" t="s">
        <v>116</v>
      </c>
    </row>
    <row r="149" spans="2:19" ht="15" customHeight="1" x14ac:dyDescent="0.2">
      <c r="B149" s="259" t="s">
        <v>6</v>
      </c>
      <c r="C149" s="12" t="s">
        <v>9</v>
      </c>
      <c r="D149" s="260">
        <v>2.52</v>
      </c>
      <c r="E149" s="255">
        <v>1</v>
      </c>
      <c r="F149" s="249">
        <v>1.2768131516032746</v>
      </c>
      <c r="G149" s="122">
        <v>1.299643466009228</v>
      </c>
      <c r="H149" s="34">
        <f>(D150*2.20462*25.4*12)</f>
        <v>2976.8190196799997</v>
      </c>
      <c r="I149" s="5">
        <f>F149*D$149*SQRT(4*D$151*H$149/32.2)/12</f>
        <v>47.53728571428573</v>
      </c>
      <c r="J149" s="1"/>
      <c r="K149" s="22"/>
      <c r="L149" s="96">
        <v>1</v>
      </c>
      <c r="M149" s="92">
        <f>L149*I149</f>
        <v>47.53728571428573</v>
      </c>
      <c r="N149" s="13"/>
      <c r="O149" s="84">
        <v>1</v>
      </c>
      <c r="P149" s="92">
        <f>C129</f>
        <v>47.53728571428573</v>
      </c>
      <c r="Q149" s="254">
        <f>P149/M149</f>
        <v>1</v>
      </c>
      <c r="R149" s="254">
        <f>G149*Q149</f>
        <v>1.299643466009228</v>
      </c>
      <c r="S149" s="267" t="s">
        <v>138</v>
      </c>
    </row>
    <row r="150" spans="2:19" ht="15" customHeight="1" x14ac:dyDescent="0.2">
      <c r="B150" s="259" t="s">
        <v>7</v>
      </c>
      <c r="C150" s="12" t="s">
        <v>10</v>
      </c>
      <c r="D150" s="444">
        <v>4.43</v>
      </c>
      <c r="E150" s="255">
        <v>2</v>
      </c>
      <c r="F150" s="250">
        <v>1.0043976193810429</v>
      </c>
      <c r="G150" s="123">
        <v>1.0131268572421426</v>
      </c>
      <c r="H150" s="35"/>
      <c r="I150" s="5">
        <f t="shared" ref="I150:I158" si="40">F150*D$149*SQRT(4*D$151*H$149/32.2)/12</f>
        <v>37.394928571428565</v>
      </c>
      <c r="J150" s="1"/>
      <c r="K150" s="22"/>
      <c r="L150" s="97">
        <v>2</v>
      </c>
      <c r="M150" s="93">
        <f>L150*I150</f>
        <v>74.78985714285713</v>
      </c>
      <c r="N150" s="13"/>
      <c r="O150" s="84">
        <v>2</v>
      </c>
      <c r="P150" s="93">
        <f t="shared" ref="P150:P158" si="41">C130</f>
        <v>74.78985714285713</v>
      </c>
      <c r="Q150" s="254">
        <f t="shared" ref="Q150:Q158" si="42">P150/M150</f>
        <v>1</v>
      </c>
      <c r="R150" s="254">
        <f t="shared" ref="R150:R158" si="43">G150*Q150</f>
        <v>1.0131268572421426</v>
      </c>
      <c r="S150" s="267" t="s">
        <v>139</v>
      </c>
    </row>
    <row r="151" spans="2:19" ht="15" customHeight="1" x14ac:dyDescent="0.2">
      <c r="B151" s="261" t="s">
        <v>8</v>
      </c>
      <c r="C151" s="262" t="s">
        <v>15</v>
      </c>
      <c r="D151" s="263">
        <v>85</v>
      </c>
      <c r="E151" s="255">
        <v>3</v>
      </c>
      <c r="F151" s="249">
        <v>0.87592050468999372</v>
      </c>
      <c r="G151" s="122">
        <v>0.87905407725551665</v>
      </c>
      <c r="H151" s="35"/>
      <c r="I151" s="5">
        <f t="shared" si="40"/>
        <v>32.611571428571423</v>
      </c>
      <c r="J151" s="1"/>
      <c r="K151" s="22"/>
      <c r="L151" s="98">
        <v>3</v>
      </c>
      <c r="M151" s="94">
        <f t="shared" ref="M151:M157" si="44">L151*I151</f>
        <v>97.83471428571427</v>
      </c>
      <c r="N151" s="13"/>
      <c r="O151" s="84">
        <v>3</v>
      </c>
      <c r="P151" s="94">
        <f t="shared" si="41"/>
        <v>97.834714285714284</v>
      </c>
      <c r="Q151" s="254">
        <f t="shared" si="42"/>
        <v>1.0000000000000002</v>
      </c>
      <c r="R151" s="254">
        <f t="shared" si="43"/>
        <v>0.87905407725551687</v>
      </c>
    </row>
    <row r="152" spans="2:19" ht="15" customHeight="1" x14ac:dyDescent="0.2">
      <c r="E152" s="30">
        <v>4</v>
      </c>
      <c r="F152" s="249">
        <v>0.79317788159275326</v>
      </c>
      <c r="G152" s="122">
        <v>0.79519232109916083</v>
      </c>
      <c r="H152" s="35"/>
      <c r="I152" s="5">
        <f t="shared" si="40"/>
        <v>29.53096428571429</v>
      </c>
      <c r="J152" s="1"/>
      <c r="K152" s="22"/>
      <c r="L152" s="98">
        <v>4</v>
      </c>
      <c r="M152" s="94">
        <f t="shared" si="44"/>
        <v>118.12385714285716</v>
      </c>
      <c r="N152" s="13"/>
      <c r="O152" s="84">
        <v>4</v>
      </c>
      <c r="P152" s="94">
        <f t="shared" si="41"/>
        <v>118.12385714285713</v>
      </c>
      <c r="Q152" s="254">
        <f t="shared" si="42"/>
        <v>0.99999999999999978</v>
      </c>
      <c r="R152" s="254">
        <f t="shared" si="43"/>
        <v>0.7951923210991606</v>
      </c>
    </row>
    <row r="153" spans="2:19" ht="15" customHeight="1" x14ac:dyDescent="0.2">
      <c r="B153" s="268" t="s">
        <v>132</v>
      </c>
      <c r="E153" s="30">
        <v>5</v>
      </c>
      <c r="F153" s="250">
        <v>0.73612070516188111</v>
      </c>
      <c r="G153" s="123">
        <v>0.73773225676700716</v>
      </c>
      <c r="H153" s="35"/>
      <c r="I153" s="5">
        <f t="shared" si="40"/>
        <v>27.406657142857142</v>
      </c>
      <c r="J153" s="1"/>
      <c r="K153" s="22"/>
      <c r="L153" s="97">
        <v>5</v>
      </c>
      <c r="M153" s="93">
        <f t="shared" si="44"/>
        <v>137.03328571428571</v>
      </c>
      <c r="N153" s="13"/>
      <c r="O153" s="84">
        <v>5</v>
      </c>
      <c r="P153" s="93">
        <f t="shared" si="41"/>
        <v>137.03328571428571</v>
      </c>
      <c r="Q153" s="254">
        <f t="shared" si="42"/>
        <v>1</v>
      </c>
      <c r="R153" s="254">
        <f t="shared" si="43"/>
        <v>0.73773225676700716</v>
      </c>
    </row>
    <row r="154" spans="2:19" ht="15" customHeight="1" x14ac:dyDescent="0.2">
      <c r="B154" s="42" t="s">
        <v>131</v>
      </c>
      <c r="E154" s="30">
        <v>10</v>
      </c>
      <c r="F154" s="249">
        <v>0.58334100856276672</v>
      </c>
      <c r="G154" s="122">
        <v>0.58454967226661125</v>
      </c>
      <c r="H154" s="35"/>
      <c r="I154" s="5">
        <f t="shared" si="40"/>
        <v>21.718485714285716</v>
      </c>
      <c r="J154" s="1"/>
      <c r="K154" s="22"/>
      <c r="L154" s="98">
        <v>10</v>
      </c>
      <c r="M154" s="94">
        <f t="shared" si="44"/>
        <v>217.18485714285717</v>
      </c>
      <c r="N154" s="13"/>
      <c r="O154" s="84">
        <v>10</v>
      </c>
      <c r="P154" s="94">
        <f t="shared" si="41"/>
        <v>217.18485714285714</v>
      </c>
      <c r="Q154" s="254">
        <f t="shared" si="42"/>
        <v>0.99999999999999989</v>
      </c>
      <c r="R154" s="254">
        <f t="shared" si="43"/>
        <v>0.58454967226661114</v>
      </c>
    </row>
    <row r="155" spans="2:19" ht="15" customHeight="1" x14ac:dyDescent="0.2">
      <c r="E155" s="30">
        <v>20</v>
      </c>
      <c r="F155" s="249">
        <v>0.47062083969083801</v>
      </c>
      <c r="G155" s="122">
        <v>0.47115802355921355</v>
      </c>
      <c r="H155" s="35"/>
      <c r="I155" s="5">
        <f t="shared" si="40"/>
        <v>17.521778571428566</v>
      </c>
      <c r="J155" s="1"/>
      <c r="K155" s="22"/>
      <c r="L155" s="98">
        <v>20</v>
      </c>
      <c r="M155" s="94">
        <f t="shared" si="44"/>
        <v>350.43557142857134</v>
      </c>
      <c r="N155" s="13"/>
      <c r="O155" s="84">
        <v>20</v>
      </c>
      <c r="P155" s="94">
        <f t="shared" si="41"/>
        <v>350.43557142857139</v>
      </c>
      <c r="Q155" s="254">
        <f t="shared" si="42"/>
        <v>1.0000000000000002</v>
      </c>
      <c r="R155" s="254">
        <f t="shared" si="43"/>
        <v>0.47115802355921366</v>
      </c>
    </row>
    <row r="156" spans="2:19" ht="15" customHeight="1" x14ac:dyDescent="0.2">
      <c r="B156" t="s">
        <v>353</v>
      </c>
      <c r="E156" s="30">
        <v>30</v>
      </c>
      <c r="F156" s="249">
        <v>0.42229200581461868</v>
      </c>
      <c r="G156" s="122">
        <v>0.42305301629481712</v>
      </c>
      <c r="H156" s="35"/>
      <c r="I156" s="5">
        <f t="shared" si="40"/>
        <v>15.722438095238095</v>
      </c>
      <c r="J156" s="1"/>
      <c r="K156" s="22"/>
      <c r="L156" s="98">
        <v>30</v>
      </c>
      <c r="M156" s="94">
        <f>L156*I156</f>
        <v>471.67314285714286</v>
      </c>
      <c r="N156" s="13"/>
      <c r="O156" s="84">
        <v>30</v>
      </c>
      <c r="P156" s="94">
        <f t="shared" si="41"/>
        <v>471.67314285714281</v>
      </c>
      <c r="Q156" s="254">
        <f t="shared" si="42"/>
        <v>0.99999999999999989</v>
      </c>
      <c r="R156" s="254">
        <f t="shared" si="43"/>
        <v>0.42305301629481706</v>
      </c>
    </row>
    <row r="157" spans="2:19" ht="15" customHeight="1" x14ac:dyDescent="0.2">
      <c r="B157">
        <f>(4.2+4.65)/2</f>
        <v>4.4250000000000007</v>
      </c>
      <c r="E157" s="30">
        <v>40</v>
      </c>
      <c r="F157" s="249">
        <v>0.39152214580930744</v>
      </c>
      <c r="G157" s="122">
        <v>0.39239506959541731</v>
      </c>
      <c r="H157" s="35"/>
      <c r="I157" s="5">
        <f t="shared" si="40"/>
        <v>14.576839285714287</v>
      </c>
      <c r="J157" s="1"/>
      <c r="K157" s="22"/>
      <c r="L157" s="98">
        <v>40</v>
      </c>
      <c r="M157" s="94">
        <f t="shared" si="44"/>
        <v>583.07357142857154</v>
      </c>
      <c r="N157" s="13"/>
      <c r="O157" s="84">
        <v>40</v>
      </c>
      <c r="P157" s="126">
        <f t="shared" si="41"/>
        <v>583.07357142857143</v>
      </c>
      <c r="Q157" s="254">
        <f t="shared" si="42"/>
        <v>0.99999999999999978</v>
      </c>
      <c r="R157" s="254">
        <f t="shared" si="43"/>
        <v>0.3923950695954172</v>
      </c>
    </row>
    <row r="158" spans="2:19" ht="15" customHeight="1" x14ac:dyDescent="0.2">
      <c r="E158" s="30">
        <v>50</v>
      </c>
      <c r="F158" s="250">
        <v>0.36712427132002007</v>
      </c>
      <c r="G158" s="123">
        <v>0.36846723099095852</v>
      </c>
      <c r="H158" s="36"/>
      <c r="I158" s="23">
        <f t="shared" si="40"/>
        <v>13.668477142857142</v>
      </c>
      <c r="J158" s="24"/>
      <c r="K158" s="17"/>
      <c r="L158" s="99">
        <v>50</v>
      </c>
      <c r="M158" s="100">
        <f>L158*I158</f>
        <v>683.42385714285706</v>
      </c>
      <c r="N158" s="16"/>
      <c r="O158" s="107">
        <v>50</v>
      </c>
      <c r="P158" s="127">
        <f t="shared" si="41"/>
        <v>683.42385714285706</v>
      </c>
      <c r="Q158" s="254">
        <f t="shared" si="42"/>
        <v>1</v>
      </c>
      <c r="R158" s="254">
        <f t="shared" si="43"/>
        <v>0.36846723099095852</v>
      </c>
    </row>
    <row r="159" spans="2:19" ht="15" customHeight="1" thickBot="1" x14ac:dyDescent="0.25">
      <c r="E159" s="2"/>
      <c r="F159" s="160"/>
      <c r="G159" s="160"/>
      <c r="H159" s="40"/>
      <c r="I159" s="161"/>
      <c r="J159" s="40"/>
      <c r="K159" s="40"/>
      <c r="L159" s="162"/>
      <c r="M159" s="162"/>
      <c r="N159" s="66"/>
      <c r="O159" s="163"/>
      <c r="P159" s="162"/>
    </row>
    <row r="160" spans="2:19" ht="15" customHeight="1" x14ac:dyDescent="0.2">
      <c r="E160" s="560"/>
      <c r="F160" s="561"/>
      <c r="G160" s="562"/>
      <c r="H160" s="563"/>
      <c r="I160" s="564"/>
      <c r="J160" s="563"/>
      <c r="K160" s="565"/>
      <c r="L160" s="566"/>
      <c r="M160" s="567"/>
      <c r="N160" s="322" t="s">
        <v>167</v>
      </c>
      <c r="P160" s="162"/>
    </row>
    <row r="161" spans="1:19" ht="15" customHeight="1" thickBot="1" x14ac:dyDescent="0.25">
      <c r="E161" s="568" t="s">
        <v>423</v>
      </c>
      <c r="F161" s="569"/>
      <c r="G161" s="570"/>
      <c r="H161" s="570"/>
      <c r="I161" s="570"/>
      <c r="J161" s="570"/>
      <c r="K161" s="570"/>
      <c r="L161" s="570"/>
      <c r="M161" s="571"/>
      <c r="P161" s="41"/>
    </row>
    <row r="162" spans="1:19" ht="15" customHeight="1" x14ac:dyDescent="0.2">
      <c r="A162" s="90" t="s">
        <v>85</v>
      </c>
      <c r="B162" s="64" t="s">
        <v>86</v>
      </c>
    </row>
    <row r="163" spans="1:19" ht="15" customHeight="1" x14ac:dyDescent="0.2">
      <c r="B163" s="64" t="s">
        <v>372</v>
      </c>
    </row>
    <row r="164" spans="1:19" ht="15" customHeight="1" x14ac:dyDescent="0.2"/>
    <row r="165" spans="1:19" ht="15" customHeight="1" x14ac:dyDescent="0.2">
      <c r="B165" s="90"/>
      <c r="F165" s="1"/>
    </row>
    <row r="166" spans="1:19" ht="15" customHeight="1" x14ac:dyDescent="0.2">
      <c r="B166" s="64"/>
      <c r="J166" s="64" t="s">
        <v>88</v>
      </c>
    </row>
    <row r="167" spans="1:19" ht="15" customHeight="1" x14ac:dyDescent="0.2">
      <c r="B167" s="90"/>
      <c r="H167" s="502" t="s">
        <v>373</v>
      </c>
    </row>
    <row r="168" spans="1:19" ht="15" customHeight="1" x14ac:dyDescent="0.2">
      <c r="F168" s="117" t="s">
        <v>56</v>
      </c>
      <c r="L168" s="164" t="s">
        <v>90</v>
      </c>
      <c r="P168" s="404"/>
      <c r="S168" s="174" t="s">
        <v>97</v>
      </c>
    </row>
    <row r="169" spans="1:19" ht="15" customHeight="1" x14ac:dyDescent="0.2">
      <c r="F169" s="117" t="s">
        <v>33</v>
      </c>
      <c r="H169" s="173" t="s">
        <v>33</v>
      </c>
      <c r="L169" s="65">
        <v>1</v>
      </c>
      <c r="M169" s="52" t="s">
        <v>12</v>
      </c>
      <c r="N169" s="124" t="s">
        <v>27</v>
      </c>
      <c r="O169" s="52" t="s">
        <v>33</v>
      </c>
      <c r="P169" s="102" t="s">
        <v>52</v>
      </c>
      <c r="S169" s="421" t="str">
        <f>J99</f>
        <v>stiff</v>
      </c>
    </row>
    <row r="170" spans="1:19" ht="15" customHeight="1" x14ac:dyDescent="0.2">
      <c r="B170" s="269">
        <f>D149</f>
        <v>2.52</v>
      </c>
      <c r="C170" s="78" t="s">
        <v>3</v>
      </c>
      <c r="D170" s="10"/>
      <c r="E170" s="3" t="s">
        <v>2</v>
      </c>
      <c r="F170" s="117" t="s">
        <v>72</v>
      </c>
      <c r="G170" s="29" t="s">
        <v>20</v>
      </c>
      <c r="H170" s="4" t="s">
        <v>25</v>
      </c>
      <c r="J170" s="38" t="s">
        <v>60</v>
      </c>
      <c r="K170" s="3" t="s">
        <v>2</v>
      </c>
      <c r="L170" s="548" t="s">
        <v>25</v>
      </c>
      <c r="M170" s="21" t="s">
        <v>13</v>
      </c>
      <c r="N170" s="125" t="s">
        <v>61</v>
      </c>
      <c r="O170" s="21" t="s">
        <v>19</v>
      </c>
      <c r="P170" s="102" t="s">
        <v>36</v>
      </c>
      <c r="Q170" s="165" t="s">
        <v>96</v>
      </c>
      <c r="R170" s="165" t="s">
        <v>59</v>
      </c>
      <c r="S170" s="172" t="s">
        <v>28</v>
      </c>
    </row>
    <row r="171" spans="1:19" ht="15" customHeight="1" x14ac:dyDescent="0.2">
      <c r="B171" s="443">
        <f t="shared" ref="B171:B172" si="45">D150</f>
        <v>4.43</v>
      </c>
      <c r="C171" s="1" t="s">
        <v>0</v>
      </c>
      <c r="D171" s="22"/>
      <c r="E171" s="71">
        <v>1</v>
      </c>
      <c r="F171" s="55">
        <f>F129</f>
        <v>28.60428571428573</v>
      </c>
      <c r="G171" s="46">
        <f>F171/E171</f>
        <v>28.60428571428573</v>
      </c>
      <c r="H171" s="63">
        <f t="shared" ref="H171:H180" si="46">SQRT(12*32.2*G171^2/(4*$B$172*($B$171*56)*$B$170^2))</f>
        <v>0.76826985042704565</v>
      </c>
      <c r="J171" s="63">
        <v>0.76826985042704565</v>
      </c>
      <c r="K171" s="71">
        <v>1</v>
      </c>
      <c r="L171" s="549">
        <f>J171*$L$169</f>
        <v>0.76826985042704565</v>
      </c>
      <c r="M171" s="5">
        <f>(B171*2.20462*25.4*12)</f>
        <v>2976.8190196799997</v>
      </c>
      <c r="N171" s="74">
        <f t="shared" ref="N171:N180" si="47">L171*B$170*SQRT(4*B$172*M$171/32.2)/12</f>
        <v>28.603608397644237</v>
      </c>
      <c r="O171" s="74">
        <f>K171*N171</f>
        <v>28.603608397644237</v>
      </c>
      <c r="P171" s="402">
        <f t="shared" ref="P171:P180" si="48">M101</f>
        <v>1.0203815612046145</v>
      </c>
      <c r="Q171" s="60">
        <f>P171*O171</f>
        <v>29.18659459287365</v>
      </c>
      <c r="R171" s="166">
        <f>Q171-O171</f>
        <v>0.58298619522941308</v>
      </c>
      <c r="S171" s="169">
        <f>R171/Q171</f>
        <v>1.9974450714841465E-2</v>
      </c>
    </row>
    <row r="172" spans="1:19" ht="15" customHeight="1" x14ac:dyDescent="0.2">
      <c r="B172" s="271">
        <f t="shared" si="45"/>
        <v>85</v>
      </c>
      <c r="C172" s="77" t="s">
        <v>1</v>
      </c>
      <c r="D172" s="17"/>
      <c r="E172" s="70">
        <v>2</v>
      </c>
      <c r="F172" s="54">
        <f t="shared" ref="F172:F180" si="49">F130</f>
        <v>54.182857142857124</v>
      </c>
      <c r="G172" s="45">
        <f t="shared" ref="G172:G180" si="50">F172/E172</f>
        <v>27.091428571428562</v>
      </c>
      <c r="H172" s="62">
        <f t="shared" si="46"/>
        <v>0.72763668998144537</v>
      </c>
      <c r="J172" s="62">
        <v>0.72763668998144537</v>
      </c>
      <c r="K172" s="70">
        <v>2</v>
      </c>
      <c r="L172" s="550">
        <f t="shared" ref="L172:L180" si="51">J172*$L$169</f>
        <v>0.72763668998144537</v>
      </c>
      <c r="N172" s="73">
        <f t="shared" si="47"/>
        <v>27.090787077507112</v>
      </c>
      <c r="O172" s="73">
        <f t="shared" ref="O172:O180" si="52">K172*N172</f>
        <v>54.181574155014225</v>
      </c>
      <c r="P172" s="402">
        <f t="shared" si="48"/>
        <v>1.0416552415102298</v>
      </c>
      <c r="Q172" s="59">
        <f t="shared" ref="Q172:Q180" si="53">P172*O172</f>
        <v>56.438520711845769</v>
      </c>
      <c r="R172" s="167">
        <f t="shared" ref="R172:R180" si="54">Q172-O172</f>
        <v>2.2569465568315437</v>
      </c>
      <c r="S172" s="170">
        <f t="shared" ref="S172:S180" si="55">R172/Q172</f>
        <v>3.9989470460338232E-2</v>
      </c>
    </row>
    <row r="173" spans="1:19" ht="15" customHeight="1" x14ac:dyDescent="0.2">
      <c r="E173" s="69">
        <v>3</v>
      </c>
      <c r="F173" s="50">
        <f t="shared" si="49"/>
        <v>74.875714285714281</v>
      </c>
      <c r="G173" s="44">
        <f t="shared" si="50"/>
        <v>24.958571428571428</v>
      </c>
      <c r="H173" s="61">
        <f t="shared" si="46"/>
        <v>0.67035122393302238</v>
      </c>
      <c r="J173" s="61">
        <v>0.67035122393302238</v>
      </c>
      <c r="K173" s="69">
        <v>3</v>
      </c>
      <c r="L173" s="551">
        <f t="shared" si="51"/>
        <v>0.67035122393302238</v>
      </c>
      <c r="N173" s="72">
        <f t="shared" si="47"/>
        <v>24.957980438258115</v>
      </c>
      <c r="O173" s="72">
        <f>K173*N173</f>
        <v>74.873941314774342</v>
      </c>
      <c r="P173" s="402">
        <f t="shared" si="48"/>
        <v>1.0615553393242134</v>
      </c>
      <c r="Q173" s="58">
        <f t="shared" si="53"/>
        <v>79.482832178946524</v>
      </c>
      <c r="R173" s="168">
        <f>Q173-O173</f>
        <v>4.6088908641721815</v>
      </c>
      <c r="S173" s="171">
        <f t="shared" si="55"/>
        <v>5.7985991915786163E-2</v>
      </c>
    </row>
    <row r="174" spans="1:19" ht="15" customHeight="1" x14ac:dyDescent="0.2">
      <c r="E174" s="69">
        <v>4</v>
      </c>
      <c r="F174" s="50">
        <f t="shared" si="49"/>
        <v>92.282857142857154</v>
      </c>
      <c r="G174" s="44">
        <f t="shared" si="50"/>
        <v>23.070714285714288</v>
      </c>
      <c r="H174" s="61">
        <f t="shared" si="46"/>
        <v>0.61964610445345703</v>
      </c>
      <c r="J174" s="61">
        <v>0.61964610445345703</v>
      </c>
      <c r="K174" s="69">
        <v>4</v>
      </c>
      <c r="L174" s="551">
        <f t="shared" si="51"/>
        <v>0.61964610445345703</v>
      </c>
      <c r="N174" s="72">
        <f t="shared" si="47"/>
        <v>23.070167997690433</v>
      </c>
      <c r="O174" s="72">
        <f t="shared" si="52"/>
        <v>92.280671990761732</v>
      </c>
      <c r="P174" s="402">
        <f t="shared" si="48"/>
        <v>1.0811743397628411</v>
      </c>
      <c r="Q174" s="58">
        <f t="shared" si="53"/>
        <v>99.77149461248311</v>
      </c>
      <c r="R174" s="168">
        <f>Q174-O174</f>
        <v>7.490822621721378</v>
      </c>
      <c r="S174" s="171">
        <f t="shared" si="55"/>
        <v>7.5079787576762924E-2</v>
      </c>
    </row>
    <row r="175" spans="1:19" ht="15" customHeight="1" x14ac:dyDescent="0.2">
      <c r="E175" s="70">
        <v>5</v>
      </c>
      <c r="F175" s="54">
        <f t="shared" si="49"/>
        <v>108.00428571428571</v>
      </c>
      <c r="G175" s="45">
        <f t="shared" si="50"/>
        <v>21.600857142857144</v>
      </c>
      <c r="H175" s="62">
        <f t="shared" si="46"/>
        <v>0.58016786197708536</v>
      </c>
      <c r="J175" s="62">
        <v>0.58016786197708536</v>
      </c>
      <c r="K175" s="70">
        <v>5</v>
      </c>
      <c r="L175" s="550">
        <f t="shared" si="51"/>
        <v>0.58016786197708536</v>
      </c>
      <c r="N175" s="73">
        <f t="shared" si="47"/>
        <v>21.600345659362691</v>
      </c>
      <c r="O175" s="73">
        <f t="shared" si="52"/>
        <v>108.00172829681345</v>
      </c>
      <c r="P175" s="402">
        <f t="shared" si="48"/>
        <v>1.098875705990503</v>
      </c>
      <c r="Q175" s="59">
        <f t="shared" si="53"/>
        <v>118.68047543035537</v>
      </c>
      <c r="R175" s="167">
        <f t="shared" si="54"/>
        <v>10.678747133541918</v>
      </c>
      <c r="S175" s="170">
        <f t="shared" si="55"/>
        <v>8.9978971644821812E-2</v>
      </c>
    </row>
    <row r="176" spans="1:19" ht="15" customHeight="1" x14ac:dyDescent="0.2">
      <c r="E176" s="69">
        <v>10</v>
      </c>
      <c r="F176" s="50">
        <f t="shared" si="49"/>
        <v>175.95785714285714</v>
      </c>
      <c r="G176" s="44">
        <f t="shared" si="50"/>
        <v>17.595785714285714</v>
      </c>
      <c r="H176" s="61">
        <f t="shared" si="46"/>
        <v>0.47259742102594204</v>
      </c>
      <c r="J176" s="61">
        <v>0.47259742102594204</v>
      </c>
      <c r="K176" s="75">
        <v>10</v>
      </c>
      <c r="L176" s="551">
        <f t="shared" si="51"/>
        <v>0.47259742102594204</v>
      </c>
      <c r="M176" s="41"/>
      <c r="N176" s="76">
        <f t="shared" si="47"/>
        <v>17.595369066283961</v>
      </c>
      <c r="O176" s="76">
        <f t="shared" si="52"/>
        <v>175.95369066283962</v>
      </c>
      <c r="P176" s="402">
        <f t="shared" si="48"/>
        <v>1.1300140861651127</v>
      </c>
      <c r="Q176" s="58">
        <f t="shared" si="53"/>
        <v>198.83014896174762</v>
      </c>
      <c r="R176" s="168">
        <f t="shared" si="54"/>
        <v>22.876458298908005</v>
      </c>
      <c r="S176" s="171">
        <f t="shared" si="55"/>
        <v>0.11505527918358671</v>
      </c>
    </row>
    <row r="177" spans="2:19" ht="15" customHeight="1" x14ac:dyDescent="0.2">
      <c r="E177" s="69">
        <v>20</v>
      </c>
      <c r="F177" s="50">
        <f t="shared" si="49"/>
        <v>288.91857142857134</v>
      </c>
      <c r="G177" s="44">
        <f t="shared" si="50"/>
        <v>14.445928571428567</v>
      </c>
      <c r="H177" s="61">
        <f t="shared" si="46"/>
        <v>0.38799680207740317</v>
      </c>
      <c r="J177" s="61">
        <v>0.38799680207740317</v>
      </c>
      <c r="K177" s="69">
        <v>20</v>
      </c>
      <c r="L177" s="551">
        <f t="shared" si="51"/>
        <v>0.38799680207740317</v>
      </c>
      <c r="N177" s="72">
        <f t="shared" si="47"/>
        <v>14.445586508427207</v>
      </c>
      <c r="O177" s="72">
        <f t="shared" si="52"/>
        <v>288.91173016854412</v>
      </c>
      <c r="P177" s="402">
        <f t="shared" si="48"/>
        <v>1.1494088794173347</v>
      </c>
      <c r="Q177" s="58">
        <f t="shared" si="53"/>
        <v>332.07770802354969</v>
      </c>
      <c r="R177" s="168">
        <f t="shared" si="54"/>
        <v>43.165977855005565</v>
      </c>
      <c r="S177" s="171">
        <f t="shared" si="55"/>
        <v>0.12998758065369567</v>
      </c>
    </row>
    <row r="178" spans="2:19" ht="15" customHeight="1" x14ac:dyDescent="0.2">
      <c r="E178" s="69">
        <v>30</v>
      </c>
      <c r="F178" s="50">
        <f t="shared" si="49"/>
        <v>394.3971428571428</v>
      </c>
      <c r="G178" s="44">
        <f t="shared" si="50"/>
        <v>13.146571428571427</v>
      </c>
      <c r="H178" s="61">
        <f t="shared" si="46"/>
        <v>0.35309794364180819</v>
      </c>
      <c r="J178" s="61">
        <v>0.35309794364180819</v>
      </c>
      <c r="K178" s="69">
        <v>30</v>
      </c>
      <c r="L178" s="551">
        <f t="shared" si="51"/>
        <v>0.35309794364180819</v>
      </c>
      <c r="N178" s="72">
        <f t="shared" si="47"/>
        <v>13.146260132855248</v>
      </c>
      <c r="O178" s="72">
        <f t="shared" si="52"/>
        <v>394.38780398565746</v>
      </c>
      <c r="P178" s="402">
        <f t="shared" si="48"/>
        <v>1.1494077760632864</v>
      </c>
      <c r="Q178" s="58">
        <f t="shared" si="53"/>
        <v>453.31240868563782</v>
      </c>
      <c r="R178" s="168">
        <f t="shared" si="54"/>
        <v>58.924604699980364</v>
      </c>
      <c r="S178" s="171">
        <f t="shared" si="55"/>
        <v>0.12998674550037143</v>
      </c>
    </row>
    <row r="179" spans="2:19" ht="15" customHeight="1" x14ac:dyDescent="0.2">
      <c r="E179" s="69">
        <v>40</v>
      </c>
      <c r="F179" s="50">
        <f t="shared" si="49"/>
        <v>491.31857142857143</v>
      </c>
      <c r="G179" s="44">
        <f t="shared" si="50"/>
        <v>12.282964285714286</v>
      </c>
      <c r="H179" s="61">
        <f t="shared" si="46"/>
        <v>0.32990270160368163</v>
      </c>
      <c r="J179" s="61">
        <v>0.32990270160368163</v>
      </c>
      <c r="K179" s="69">
        <v>40</v>
      </c>
      <c r="L179" s="551">
        <f t="shared" si="51"/>
        <v>0.32990270160368163</v>
      </c>
      <c r="N179" s="72">
        <f t="shared" si="47"/>
        <v>12.282673439223636</v>
      </c>
      <c r="O179" s="72">
        <f t="shared" si="52"/>
        <v>491.30693756894544</v>
      </c>
      <c r="P179" s="402">
        <f t="shared" si="48"/>
        <v>1.1494040817275959</v>
      </c>
      <c r="Q179" s="58">
        <f t="shared" si="53"/>
        <v>564.71019942283101</v>
      </c>
      <c r="R179" s="168">
        <f t="shared" si="54"/>
        <v>73.403261853885567</v>
      </c>
      <c r="S179" s="171">
        <f t="shared" si="55"/>
        <v>0.12998394916349709</v>
      </c>
    </row>
    <row r="180" spans="2:19" ht="15" customHeight="1" thickBot="1" x14ac:dyDescent="0.25">
      <c r="E180" s="70">
        <v>50</v>
      </c>
      <c r="F180" s="54">
        <f t="shared" si="49"/>
        <v>578.60785714285703</v>
      </c>
      <c r="G180" s="45">
        <f t="shared" si="50"/>
        <v>11.57215714285714</v>
      </c>
      <c r="H180" s="62">
        <f t="shared" si="46"/>
        <v>0.3108114471399282</v>
      </c>
      <c r="J180" s="62">
        <v>0.3108114471399282</v>
      </c>
      <c r="K180" s="70">
        <v>50</v>
      </c>
      <c r="L180" s="556">
        <f t="shared" si="51"/>
        <v>0.3108114471399282</v>
      </c>
      <c r="N180" s="73">
        <f t="shared" si="47"/>
        <v>11.571883127463463</v>
      </c>
      <c r="O180" s="73">
        <f t="shared" si="52"/>
        <v>578.59415637317318</v>
      </c>
      <c r="P180" s="403">
        <f t="shared" si="48"/>
        <v>1.1494379983482521</v>
      </c>
      <c r="Q180" s="59">
        <f t="shared" si="53"/>
        <v>665.05810895757577</v>
      </c>
      <c r="R180" s="167">
        <f t="shared" si="54"/>
        <v>86.463952584402591</v>
      </c>
      <c r="S180" s="170">
        <f t="shared" si="55"/>
        <v>0.13000962084339934</v>
      </c>
    </row>
    <row r="181" spans="2:19" ht="15" customHeight="1" x14ac:dyDescent="0.2">
      <c r="E181" s="323"/>
      <c r="F181" s="324"/>
      <c r="G181" s="323"/>
      <c r="H181" s="325"/>
      <c r="I181" s="41"/>
      <c r="J181" s="325"/>
      <c r="K181" s="560"/>
      <c r="L181" s="561"/>
      <c r="M181" s="563"/>
      <c r="N181" s="578"/>
      <c r="O181" s="579"/>
      <c r="P181" s="326"/>
      <c r="Q181" s="324"/>
      <c r="R181" s="324"/>
      <c r="S181" s="327"/>
    </row>
    <row r="182" spans="2:19" ht="15" customHeight="1" thickBot="1" x14ac:dyDescent="0.25">
      <c r="E182" s="323"/>
      <c r="F182" s="324"/>
      <c r="G182" s="323"/>
      <c r="H182" s="325"/>
      <c r="I182" s="41"/>
      <c r="J182" s="325"/>
      <c r="K182" s="568" t="s">
        <v>421</v>
      </c>
      <c r="L182" s="569"/>
      <c r="M182" s="570"/>
      <c r="N182" s="580"/>
      <c r="O182" s="581"/>
      <c r="P182" s="326"/>
      <c r="Q182" s="504" t="s">
        <v>378</v>
      </c>
      <c r="S182" s="327"/>
    </row>
    <row r="183" spans="2:19" ht="15" customHeight="1" x14ac:dyDescent="0.2">
      <c r="E183" s="323"/>
      <c r="F183" s="324"/>
      <c r="G183" s="323"/>
      <c r="H183" s="325"/>
      <c r="I183" s="41"/>
      <c r="J183" s="325"/>
      <c r="K183" s="323"/>
      <c r="L183" s="325"/>
      <c r="M183" s="41"/>
      <c r="N183" s="324"/>
      <c r="O183" s="324"/>
      <c r="P183" s="326"/>
      <c r="Q183" s="324"/>
      <c r="R183" s="311" t="s">
        <v>313</v>
      </c>
      <c r="S183" s="327"/>
    </row>
    <row r="184" spans="2:19" ht="15" customHeight="1" x14ac:dyDescent="0.2">
      <c r="E184" s="323"/>
      <c r="F184" s="324"/>
      <c r="G184" s="323"/>
      <c r="H184" s="325"/>
      <c r="I184" s="41"/>
      <c r="J184" s="325"/>
      <c r="K184" s="323"/>
      <c r="L184" s="325"/>
      <c r="M184" s="41"/>
      <c r="N184" s="324"/>
      <c r="O184" s="324"/>
      <c r="P184" s="326"/>
      <c r="Q184" s="324"/>
      <c r="R184" s="311" t="s">
        <v>53</v>
      </c>
      <c r="S184" s="327"/>
    </row>
    <row r="185" spans="2:19" ht="15" customHeight="1" x14ac:dyDescent="0.2">
      <c r="E185" s="323"/>
      <c r="F185" s="324"/>
      <c r="G185" s="323"/>
      <c r="H185" s="325"/>
      <c r="I185" s="41"/>
      <c r="J185" s="325"/>
      <c r="K185" s="323"/>
      <c r="L185" s="325"/>
      <c r="M185" s="41"/>
      <c r="N185" s="324"/>
      <c r="O185" s="324"/>
      <c r="P185" s="326"/>
      <c r="Q185" s="324"/>
      <c r="R185" s="425">
        <f t="shared" ref="R185:R194" si="56">E101</f>
        <v>0.58299999999999996</v>
      </c>
      <c r="S185" s="327"/>
    </row>
    <row r="186" spans="2:19" ht="15" customHeight="1" x14ac:dyDescent="0.2">
      <c r="E186" s="323"/>
      <c r="F186" s="324"/>
      <c r="G186" s="323"/>
      <c r="H186" s="325"/>
      <c r="I186" s="41"/>
      <c r="J186" s="325"/>
      <c r="K186" s="323"/>
      <c r="L186" s="325"/>
      <c r="M186" s="41"/>
      <c r="N186" s="324"/>
      <c r="O186" s="324"/>
      <c r="P186" s="326"/>
      <c r="Q186" s="324"/>
      <c r="R186" s="167">
        <f t="shared" si="56"/>
        <v>2.2570000000000001</v>
      </c>
      <c r="S186" s="327"/>
    </row>
    <row r="187" spans="2:19" ht="15" customHeight="1" x14ac:dyDescent="0.2">
      <c r="R187" s="168">
        <f t="shared" si="56"/>
        <v>4.609</v>
      </c>
    </row>
    <row r="188" spans="2:19" ht="15" customHeight="1" x14ac:dyDescent="0.2">
      <c r="R188" s="168">
        <f t="shared" si="56"/>
        <v>7.4909999999999997</v>
      </c>
    </row>
    <row r="189" spans="2:19" ht="15" customHeight="1" x14ac:dyDescent="0.2">
      <c r="R189" s="167">
        <f t="shared" si="56"/>
        <v>10.679</v>
      </c>
    </row>
    <row r="190" spans="2:19" ht="15" customHeight="1" x14ac:dyDescent="0.2">
      <c r="R190" s="168">
        <f t="shared" si="56"/>
        <v>22.876999999999999</v>
      </c>
    </row>
    <row r="191" spans="2:19" ht="15" customHeight="1" x14ac:dyDescent="0.2">
      <c r="F191" s="41"/>
      <c r="G191" s="41"/>
      <c r="H191" s="41"/>
      <c r="I191" s="41"/>
      <c r="J191" s="41"/>
      <c r="K191" s="41"/>
      <c r="L191" s="41"/>
      <c r="M191" s="41"/>
      <c r="N191" s="41"/>
      <c r="O191" s="41"/>
      <c r="P191" s="41"/>
      <c r="R191" s="168">
        <f t="shared" si="56"/>
        <v>43.167000000000002</v>
      </c>
    </row>
    <row r="192" spans="2:19" ht="15" customHeight="1" x14ac:dyDescent="0.2">
      <c r="B192" s="90"/>
      <c r="R192" s="168">
        <f t="shared" si="56"/>
        <v>58.926000000000002</v>
      </c>
    </row>
    <row r="193" spans="1:18" ht="15" customHeight="1" x14ac:dyDescent="0.2">
      <c r="A193" s="90" t="s">
        <v>95</v>
      </c>
      <c r="B193" s="64" t="s">
        <v>178</v>
      </c>
      <c r="R193" s="168">
        <f t="shared" si="56"/>
        <v>73.405000000000001</v>
      </c>
    </row>
    <row r="194" spans="1:18" ht="15" customHeight="1" x14ac:dyDescent="0.2">
      <c r="R194" s="167">
        <f t="shared" si="56"/>
        <v>86.465999999999994</v>
      </c>
    </row>
    <row r="195" spans="1:18" ht="15" customHeight="1" x14ac:dyDescent="0.2">
      <c r="B195" s="90"/>
    </row>
    <row r="196" spans="1:18" ht="15" customHeight="1" x14ac:dyDescent="0.2">
      <c r="B196" s="64"/>
      <c r="J196" s="64" t="s">
        <v>88</v>
      </c>
    </row>
    <row r="197" spans="1:18" ht="15" customHeight="1" x14ac:dyDescent="0.2">
      <c r="B197" s="90"/>
      <c r="H197" s="502" t="s">
        <v>373</v>
      </c>
    </row>
    <row r="198" spans="1:18" ht="15" customHeight="1" x14ac:dyDescent="0.2">
      <c r="F198" s="117" t="s">
        <v>56</v>
      </c>
      <c r="L198" s="164" t="s">
        <v>90</v>
      </c>
    </row>
    <row r="199" spans="1:18" ht="15" customHeight="1" x14ac:dyDescent="0.2">
      <c r="F199" s="117" t="s">
        <v>35</v>
      </c>
      <c r="H199" s="173" t="s">
        <v>33</v>
      </c>
      <c r="L199" s="65">
        <v>1</v>
      </c>
      <c r="M199" s="52" t="s">
        <v>12</v>
      </c>
      <c r="N199" s="124" t="s">
        <v>27</v>
      </c>
      <c r="O199" s="181" t="s">
        <v>35</v>
      </c>
      <c r="Q199" s="311" t="s">
        <v>313</v>
      </c>
    </row>
    <row r="200" spans="1:18" ht="15" customHeight="1" x14ac:dyDescent="0.2">
      <c r="B200" s="269">
        <f>D149</f>
        <v>2.52</v>
      </c>
      <c r="C200" s="78" t="s">
        <v>3</v>
      </c>
      <c r="D200" s="10"/>
      <c r="E200" s="3" t="s">
        <v>2</v>
      </c>
      <c r="F200" s="117" t="s">
        <v>72</v>
      </c>
      <c r="G200" s="29" t="s">
        <v>20</v>
      </c>
      <c r="H200" s="4" t="s">
        <v>25</v>
      </c>
      <c r="J200" s="38" t="s">
        <v>60</v>
      </c>
      <c r="K200" s="3" t="s">
        <v>2</v>
      </c>
      <c r="L200" s="548" t="s">
        <v>25</v>
      </c>
      <c r="M200" s="21" t="s">
        <v>13</v>
      </c>
      <c r="N200" s="125" t="s">
        <v>61</v>
      </c>
      <c r="O200" s="21" t="s">
        <v>19</v>
      </c>
      <c r="Q200" s="311" t="s">
        <v>53</v>
      </c>
    </row>
    <row r="201" spans="1:18" ht="15" customHeight="1" x14ac:dyDescent="0.2">
      <c r="B201" s="443">
        <f>D150</f>
        <v>4.43</v>
      </c>
      <c r="C201" s="1" t="s">
        <v>0</v>
      </c>
      <c r="D201" s="22"/>
      <c r="E201" s="71">
        <v>1</v>
      </c>
      <c r="F201" s="166">
        <f t="shared" ref="F201:F210" si="57">G129</f>
        <v>0.58299999999999996</v>
      </c>
      <c r="G201" s="49">
        <f>F201/E201</f>
        <v>0.58299999999999996</v>
      </c>
      <c r="H201" s="178">
        <f>SQRT(12*32.2*G201^2/(4*$B$202*($B$201*56)*$B$200^2))</f>
        <v>1.5658538978138997E-2</v>
      </c>
      <c r="J201" s="178">
        <v>1.5658538978138997E-2</v>
      </c>
      <c r="K201" s="71">
        <v>1</v>
      </c>
      <c r="L201" s="549">
        <f>J201*$L$199</f>
        <v>1.5658538978138997E-2</v>
      </c>
      <c r="M201" s="5">
        <f>(B201*2.20462*25.4*12)</f>
        <v>2976.8190196799997</v>
      </c>
      <c r="N201" s="74">
        <f>L201*B$200*SQRT(4*B$202*M$201/32.2)/12</f>
        <v>0.58298619522941642</v>
      </c>
      <c r="O201" s="218">
        <f>K201*N201</f>
        <v>0.58298619522941642</v>
      </c>
      <c r="Q201" s="218">
        <f t="shared" ref="Q201:Q210" si="58">E101</f>
        <v>0.58299999999999996</v>
      </c>
    </row>
    <row r="202" spans="1:18" ht="15" customHeight="1" x14ac:dyDescent="0.2">
      <c r="B202" s="271">
        <f>D151</f>
        <v>85</v>
      </c>
      <c r="C202" s="77" t="s">
        <v>1</v>
      </c>
      <c r="D202" s="17"/>
      <c r="E202" s="70">
        <v>2</v>
      </c>
      <c r="F202" s="167">
        <f t="shared" si="57"/>
        <v>2.2570000000000001</v>
      </c>
      <c r="G202" s="48">
        <f t="shared" ref="G202:G210" si="59">F202/E202</f>
        <v>1.1285000000000001</v>
      </c>
      <c r="H202" s="179">
        <f t="shared" ref="H202:H210" si="60">SQRT(12*32.2*G202^2/(4*$B$202*($B$201*56)*$B$200^2))</f>
        <v>3.0309882052881407E-2</v>
      </c>
      <c r="J202" s="179">
        <v>3.0309882052881407E-2</v>
      </c>
      <c r="K202" s="70">
        <v>2</v>
      </c>
      <c r="L202" s="550">
        <f t="shared" ref="L202:L210" si="61">J202*$L$199</f>
        <v>3.0309882052881407E-2</v>
      </c>
      <c r="N202" s="73">
        <f t="shared" ref="N202:N210" si="62">L202*B$200*SQRT(4*B$202*M$201/32.2)/12</f>
        <v>1.1284732784157747</v>
      </c>
      <c r="O202" s="219">
        <f t="shared" ref="O202" si="63">K202*N202</f>
        <v>2.2569465568315494</v>
      </c>
      <c r="Q202" s="219">
        <f t="shared" si="58"/>
        <v>2.2570000000000001</v>
      </c>
    </row>
    <row r="203" spans="1:18" ht="15" customHeight="1" x14ac:dyDescent="0.2">
      <c r="E203" s="69">
        <v>3</v>
      </c>
      <c r="F203" s="168">
        <f t="shared" si="57"/>
        <v>4.609</v>
      </c>
      <c r="G203" s="47">
        <f t="shared" si="59"/>
        <v>1.5363333333333333</v>
      </c>
      <c r="H203" s="180">
        <f t="shared" si="60"/>
        <v>4.1263697055599E-2</v>
      </c>
      <c r="J203" s="180">
        <v>4.1263697055599E-2</v>
      </c>
      <c r="K203" s="69">
        <v>3</v>
      </c>
      <c r="L203" s="551">
        <f t="shared" si="61"/>
        <v>4.1263697055599E-2</v>
      </c>
      <c r="N203" s="72">
        <f t="shared" si="62"/>
        <v>1.5362969547240599</v>
      </c>
      <c r="O203" s="220">
        <f>K203*N203</f>
        <v>4.6088908641721797</v>
      </c>
      <c r="Q203" s="220">
        <f t="shared" si="58"/>
        <v>4.609</v>
      </c>
    </row>
    <row r="204" spans="1:18" ht="15" customHeight="1" x14ac:dyDescent="0.2">
      <c r="E204" s="69">
        <v>4</v>
      </c>
      <c r="F204" s="168">
        <f t="shared" si="57"/>
        <v>7.4909999999999997</v>
      </c>
      <c r="G204" s="47">
        <f t="shared" si="59"/>
        <v>1.8727499999999999</v>
      </c>
      <c r="H204" s="180">
        <f t="shared" si="60"/>
        <v>5.0299363415625742E-2</v>
      </c>
      <c r="J204" s="180">
        <v>5.0299363415625742E-2</v>
      </c>
      <c r="K204" s="69">
        <v>4</v>
      </c>
      <c r="L204" s="551">
        <f t="shared" si="61"/>
        <v>5.0299363415625742E-2</v>
      </c>
      <c r="N204" s="72">
        <f t="shared" si="62"/>
        <v>1.8727056554303427</v>
      </c>
      <c r="O204" s="220">
        <f t="shared" ref="O204:O210" si="64">K204*N204</f>
        <v>7.4908226217213709</v>
      </c>
      <c r="Q204" s="220">
        <f t="shared" si="58"/>
        <v>7.4909999999999997</v>
      </c>
    </row>
    <row r="205" spans="1:18" ht="15" customHeight="1" x14ac:dyDescent="0.2">
      <c r="E205" s="70">
        <v>5</v>
      </c>
      <c r="F205" s="167">
        <f t="shared" si="57"/>
        <v>10.679</v>
      </c>
      <c r="G205" s="48">
        <f t="shared" si="59"/>
        <v>2.1358000000000001</v>
      </c>
      <c r="H205" s="179">
        <f t="shared" si="60"/>
        <v>5.7364506945985036E-2</v>
      </c>
      <c r="J205" s="179">
        <v>5.7364506945985036E-2</v>
      </c>
      <c r="K205" s="70">
        <v>5</v>
      </c>
      <c r="L205" s="550">
        <f t="shared" si="61"/>
        <v>5.7364506945985036E-2</v>
      </c>
      <c r="N205" s="73">
        <f t="shared" si="62"/>
        <v>2.1357494267083843</v>
      </c>
      <c r="O205" s="219">
        <f t="shared" si="64"/>
        <v>10.678747133541922</v>
      </c>
      <c r="Q205" s="219">
        <f t="shared" si="58"/>
        <v>10.679</v>
      </c>
    </row>
    <row r="206" spans="1:18" ht="15" customHeight="1" x14ac:dyDescent="0.2">
      <c r="E206" s="69">
        <v>10</v>
      </c>
      <c r="F206" s="168">
        <f t="shared" si="57"/>
        <v>22.876999999999999</v>
      </c>
      <c r="G206" s="47">
        <f t="shared" si="59"/>
        <v>2.2877000000000001</v>
      </c>
      <c r="H206" s="180">
        <f t="shared" si="60"/>
        <v>6.1444321818676824E-2</v>
      </c>
      <c r="J206" s="180">
        <v>6.1444321818676824E-2</v>
      </c>
      <c r="K206" s="75">
        <v>10</v>
      </c>
      <c r="L206" s="551">
        <f t="shared" si="61"/>
        <v>6.1444321818676824E-2</v>
      </c>
      <c r="M206" s="41"/>
      <c r="N206" s="76">
        <f t="shared" si="62"/>
        <v>2.2876458298908</v>
      </c>
      <c r="O206" s="221">
        <f t="shared" si="64"/>
        <v>22.876458298907998</v>
      </c>
      <c r="Q206" s="221">
        <f t="shared" si="58"/>
        <v>22.876999999999999</v>
      </c>
    </row>
    <row r="207" spans="1:18" ht="15" customHeight="1" x14ac:dyDescent="0.2">
      <c r="E207" s="69">
        <v>20</v>
      </c>
      <c r="F207" s="168">
        <f t="shared" si="57"/>
        <v>43.167000000000002</v>
      </c>
      <c r="G207" s="47">
        <f t="shared" si="59"/>
        <v>2.15835</v>
      </c>
      <c r="H207" s="180">
        <f t="shared" si="60"/>
        <v>5.7970167415894183E-2</v>
      </c>
      <c r="J207" s="180">
        <v>5.7970167415894183E-2</v>
      </c>
      <c r="K207" s="69">
        <v>20</v>
      </c>
      <c r="L207" s="551">
        <f t="shared" si="61"/>
        <v>5.7970167415894183E-2</v>
      </c>
      <c r="N207" s="72">
        <f t="shared" si="62"/>
        <v>2.1582988927502762</v>
      </c>
      <c r="O207" s="220">
        <f t="shared" si="64"/>
        <v>43.165977855005522</v>
      </c>
      <c r="Q207" s="220">
        <f t="shared" si="58"/>
        <v>43.167000000000002</v>
      </c>
    </row>
    <row r="208" spans="1:18" ht="15" customHeight="1" x14ac:dyDescent="0.2">
      <c r="E208" s="69">
        <v>30</v>
      </c>
      <c r="F208" s="168">
        <f t="shared" si="57"/>
        <v>58.926000000000002</v>
      </c>
      <c r="G208" s="47">
        <f t="shared" si="59"/>
        <v>1.9642000000000002</v>
      </c>
      <c r="H208" s="180">
        <f t="shared" si="60"/>
        <v>5.2755578492042238E-2</v>
      </c>
      <c r="J208" s="180">
        <v>5.2755578492042238E-2</v>
      </c>
      <c r="K208" s="69">
        <v>30</v>
      </c>
      <c r="L208" s="551">
        <f t="shared" si="61"/>
        <v>5.2755578492042238E-2</v>
      </c>
      <c r="N208" s="72">
        <f t="shared" si="62"/>
        <v>1.9641534899993485</v>
      </c>
      <c r="O208" s="220">
        <f t="shared" si="64"/>
        <v>58.924604699980456</v>
      </c>
      <c r="Q208" s="220">
        <f t="shared" si="58"/>
        <v>58.926000000000002</v>
      </c>
    </row>
    <row r="209" spans="1:17" ht="15" customHeight="1" x14ac:dyDescent="0.2">
      <c r="E209" s="69">
        <v>40</v>
      </c>
      <c r="F209" s="168">
        <f t="shared" si="57"/>
        <v>73.405000000000001</v>
      </c>
      <c r="G209" s="47">
        <f t="shared" si="59"/>
        <v>1.8351250000000001</v>
      </c>
      <c r="H209" s="180">
        <f t="shared" si="60"/>
        <v>4.9288810192551172E-2</v>
      </c>
      <c r="J209" s="180">
        <v>4.9288810192551172E-2</v>
      </c>
      <c r="K209" s="69">
        <v>40</v>
      </c>
      <c r="L209" s="551">
        <f t="shared" si="61"/>
        <v>4.9288810192551172E-2</v>
      </c>
      <c r="N209" s="72">
        <f t="shared" si="62"/>
        <v>1.8350815463471408</v>
      </c>
      <c r="O209" s="220">
        <f t="shared" si="64"/>
        <v>73.403261853885638</v>
      </c>
      <c r="Q209" s="220">
        <f t="shared" si="58"/>
        <v>73.405000000000001</v>
      </c>
    </row>
    <row r="210" spans="1:17" ht="15" customHeight="1" thickBot="1" x14ac:dyDescent="0.25">
      <c r="E210" s="70">
        <v>50</v>
      </c>
      <c r="F210" s="167">
        <f t="shared" si="57"/>
        <v>86.465999999999994</v>
      </c>
      <c r="G210" s="48">
        <f t="shared" si="59"/>
        <v>1.72932</v>
      </c>
      <c r="H210" s="179">
        <f t="shared" si="60"/>
        <v>4.6447040524314462E-2</v>
      </c>
      <c r="J210" s="179">
        <v>4.6447040524314462E-2</v>
      </c>
      <c r="K210" s="70">
        <v>50</v>
      </c>
      <c r="L210" s="556">
        <f t="shared" si="61"/>
        <v>4.6447040524314462E-2</v>
      </c>
      <c r="N210" s="73">
        <f t="shared" si="62"/>
        <v>1.7292790516880523</v>
      </c>
      <c r="O210" s="219">
        <f t="shared" si="64"/>
        <v>86.46395258440262</v>
      </c>
      <c r="Q210" s="219">
        <f t="shared" si="58"/>
        <v>86.465999999999994</v>
      </c>
    </row>
    <row r="211" spans="1:17" ht="15" customHeight="1" x14ac:dyDescent="0.2">
      <c r="K211" s="560"/>
      <c r="L211" s="561"/>
      <c r="M211" s="565"/>
      <c r="N211" s="572"/>
    </row>
    <row r="212" spans="1:17" ht="15" customHeight="1" thickBot="1" x14ac:dyDescent="0.25">
      <c r="K212" s="568" t="s">
        <v>421</v>
      </c>
      <c r="L212" s="569"/>
      <c r="M212" s="573"/>
      <c r="N212" s="574"/>
      <c r="O212" s="37"/>
    </row>
    <row r="213" spans="1:17" ht="15" customHeight="1" x14ac:dyDescent="0.2">
      <c r="O213" s="37"/>
      <c r="P213" s="505" t="s">
        <v>376</v>
      </c>
    </row>
    <row r="214" spans="1:17" ht="15" customHeight="1" x14ac:dyDescent="0.2">
      <c r="O214" s="37"/>
    </row>
    <row r="215" spans="1:17" ht="15" customHeight="1" x14ac:dyDescent="0.2">
      <c r="O215" s="37"/>
    </row>
    <row r="216" spans="1:17" ht="15" customHeight="1" x14ac:dyDescent="0.2">
      <c r="O216" s="37"/>
    </row>
    <row r="217" spans="1:17" ht="15" customHeight="1" x14ac:dyDescent="0.2">
      <c r="A217" s="51"/>
      <c r="B217" s="9"/>
      <c r="C217" s="9"/>
      <c r="D217" s="9"/>
      <c r="E217" s="9"/>
      <c r="F217" s="9"/>
      <c r="G217" s="9"/>
      <c r="H217" s="9"/>
      <c r="I217" s="9"/>
      <c r="J217" s="9"/>
      <c r="K217" s="9"/>
      <c r="L217" s="9"/>
      <c r="M217" s="9"/>
      <c r="N217" s="9"/>
      <c r="O217" s="272"/>
      <c r="P217" s="10"/>
    </row>
    <row r="218" spans="1:17" ht="15" customHeight="1" x14ac:dyDescent="0.2">
      <c r="A218" s="35"/>
      <c r="B218" s="1"/>
      <c r="C218" s="1"/>
      <c r="D218" s="1"/>
      <c r="E218" s="1"/>
      <c r="F218" s="1"/>
      <c r="G218" s="1"/>
      <c r="H218" s="1"/>
      <c r="I218" s="1"/>
      <c r="J218" s="1"/>
      <c r="K218" s="1"/>
      <c r="L218" s="1"/>
      <c r="M218" s="1"/>
      <c r="N218" s="1"/>
      <c r="O218" s="334" t="s">
        <v>195</v>
      </c>
      <c r="P218" s="299"/>
    </row>
    <row r="219" spans="1:17" ht="15" customHeight="1" x14ac:dyDescent="0.2">
      <c r="A219" s="35"/>
      <c r="B219" s="1"/>
      <c r="C219" s="1"/>
      <c r="D219" s="1"/>
      <c r="E219" s="1"/>
      <c r="F219" s="1"/>
      <c r="G219" s="1"/>
      <c r="H219" s="1"/>
      <c r="I219" s="1"/>
      <c r="J219" s="1"/>
      <c r="K219" s="1"/>
      <c r="L219" s="1"/>
      <c r="M219" s="1"/>
      <c r="N219" s="1"/>
      <c r="O219" s="273"/>
      <c r="P219" s="22"/>
    </row>
    <row r="220" spans="1:17" ht="15" customHeight="1" x14ac:dyDescent="0.2">
      <c r="A220" s="274" t="s">
        <v>98</v>
      </c>
      <c r="B220" s="275" t="s">
        <v>183</v>
      </c>
      <c r="C220" s="1"/>
      <c r="D220" s="1"/>
      <c r="E220" s="1"/>
      <c r="F220" s="1"/>
      <c r="G220" s="1"/>
      <c r="H220" s="1"/>
      <c r="I220" s="1"/>
      <c r="J220" s="1"/>
      <c r="K220" s="276" t="s">
        <v>121</v>
      </c>
      <c r="L220" s="1"/>
      <c r="M220" s="1"/>
      <c r="N220" s="1"/>
      <c r="O220" s="330" t="s">
        <v>122</v>
      </c>
      <c r="P220" s="22"/>
    </row>
    <row r="221" spans="1:17" ht="15" customHeight="1" x14ac:dyDescent="0.2">
      <c r="A221" s="274"/>
      <c r="B221" s="275" t="str">
        <f>B9</f>
        <v>(3171-3304)/2</v>
      </c>
      <c r="C221" s="1"/>
      <c r="D221" s="1"/>
      <c r="E221" s="1"/>
      <c r="F221" s="1"/>
      <c r="G221" s="1"/>
      <c r="H221" s="1"/>
      <c r="I221" s="1"/>
      <c r="J221" s="1"/>
      <c r="K221" s="276"/>
      <c r="L221" s="1"/>
      <c r="M221" s="1"/>
      <c r="N221" s="1"/>
      <c r="O221" s="330"/>
      <c r="P221" s="22"/>
    </row>
    <row r="222" spans="1:17" ht="15" customHeight="1" x14ac:dyDescent="0.2">
      <c r="A222" s="274"/>
      <c r="B222" s="275" t="str">
        <f>B10</f>
        <v>16 SXF 250</v>
      </c>
      <c r="C222" s="1"/>
      <c r="E222" s="1" t="str">
        <f>B5</f>
        <v xml:space="preserve">  We will use the exact spring rate from the test because a good test should have decent r-zeta and r/c ratio.</v>
      </c>
      <c r="F222" s="1"/>
      <c r="G222" s="1"/>
      <c r="H222" s="1"/>
      <c r="I222" s="1"/>
      <c r="J222" s="1"/>
      <c r="K222" s="276"/>
      <c r="L222" s="1"/>
      <c r="M222" s="1"/>
      <c r="N222" s="1"/>
      <c r="O222" s="330"/>
      <c r="P222" s="22"/>
    </row>
    <row r="223" spans="1:17" ht="15" customHeight="1" x14ac:dyDescent="0.2">
      <c r="A223" s="274"/>
      <c r="B223" s="275" t="str">
        <f>B11</f>
        <v>Hunter and Cody</v>
      </c>
      <c r="C223" s="1"/>
      <c r="E223" s="1" t="str">
        <f>B6</f>
        <v xml:space="preserve">  We are removing calc gas (73c and 69c) and displaying linear gas force (77 lbs and 73 lbs) for 12sxf450-psh and 16sxf250-psh respectively.</v>
      </c>
      <c r="F223" s="1"/>
      <c r="G223" s="1"/>
      <c r="H223" s="1"/>
      <c r="I223" s="1"/>
      <c r="J223" s="1"/>
      <c r="K223" s="276"/>
      <c r="L223" s="1"/>
      <c r="M223" s="1"/>
      <c r="N223" s="1"/>
      <c r="O223" s="330"/>
      <c r="P223" s="22"/>
    </row>
    <row r="224" spans="1:17" ht="15" customHeight="1" x14ac:dyDescent="0.2">
      <c r="A224" s="274"/>
      <c r="B224" s="275" t="str">
        <f>B12</f>
        <v>12sxf450-psh</v>
      </c>
      <c r="C224" s="1"/>
      <c r="D224" s="275" t="str">
        <f>D12</f>
        <v>15 flsprs</v>
      </c>
      <c r="E224" s="1"/>
      <c r="F224" s="499" t="s">
        <v>380</v>
      </c>
      <c r="G224" s="1"/>
      <c r="H224" s="1"/>
      <c r="I224" s="1"/>
      <c r="J224" s="1"/>
      <c r="K224" s="276"/>
      <c r="L224" s="1"/>
      <c r="M224" s="1"/>
      <c r="N224" s="1"/>
      <c r="O224" s="330"/>
      <c r="P224" s="22"/>
    </row>
    <row r="225" spans="1:16" ht="15" customHeight="1" x14ac:dyDescent="0.2">
      <c r="A225" s="35"/>
      <c r="B225" s="275" t="str">
        <f>B13</f>
        <v>TRENDLINE</v>
      </c>
      <c r="C225" s="275" t="str">
        <f>C13</f>
        <v>v9</v>
      </c>
      <c r="D225" s="275" t="str">
        <f>D13</f>
        <v>DONE</v>
      </c>
      <c r="E225" s="1"/>
      <c r="F225" s="1"/>
      <c r="G225" s="1"/>
      <c r="H225" s="1"/>
      <c r="I225" s="1"/>
      <c r="J225" s="1"/>
      <c r="K225" s="276"/>
      <c r="L225" s="1"/>
      <c r="M225" s="1"/>
      <c r="N225" s="1"/>
      <c r="O225" s="330"/>
      <c r="P225" s="22"/>
    </row>
    <row r="226" spans="1:16" ht="15" customHeight="1" x14ac:dyDescent="0.2">
      <c r="A226" s="35"/>
      <c r="B226" s="275"/>
      <c r="C226" s="1"/>
      <c r="D226" s="1"/>
      <c r="E226" s="1"/>
      <c r="F226" s="1"/>
      <c r="G226" s="1"/>
      <c r="H226" s="1"/>
      <c r="I226" s="1"/>
      <c r="J226" s="1"/>
      <c r="K226" s="1"/>
      <c r="L226" s="1"/>
      <c r="M226" s="1"/>
      <c r="N226" s="1"/>
      <c r="O226" s="1"/>
      <c r="P226" s="22"/>
    </row>
    <row r="227" spans="1:16" ht="15" customHeight="1" x14ac:dyDescent="0.2">
      <c r="A227" s="11"/>
      <c r="B227" s="442" t="s">
        <v>202</v>
      </c>
      <c r="C227" s="275"/>
      <c r="D227" s="1"/>
      <c r="E227" s="1"/>
      <c r="F227" s="1"/>
      <c r="G227" s="1"/>
      <c r="H227" s="1"/>
      <c r="I227" s="445"/>
      <c r="J227" s="445"/>
      <c r="K227" s="1"/>
      <c r="L227" s="1"/>
      <c r="M227" s="1"/>
      <c r="N227" s="1"/>
      <c r="O227" s="1"/>
      <c r="P227" s="22"/>
    </row>
    <row r="228" spans="1:16" ht="15" customHeight="1" x14ac:dyDescent="0.2">
      <c r="A228" s="35"/>
      <c r="B228" s="1"/>
      <c r="C228" s="1"/>
      <c r="D228" s="1"/>
      <c r="E228" s="1"/>
      <c r="F228" s="1"/>
      <c r="G228" s="1"/>
      <c r="H228" s="446" t="str">
        <f>J99</f>
        <v>stiff</v>
      </c>
      <c r="I228" s="1"/>
      <c r="J228" s="1"/>
      <c r="K228" s="1"/>
      <c r="L228" s="1"/>
      <c r="M228" s="1"/>
      <c r="N228" s="1"/>
      <c r="O228" s="1"/>
      <c r="P228" s="22"/>
    </row>
    <row r="229" spans="1:16" ht="15" customHeight="1" x14ac:dyDescent="0.2">
      <c r="A229" s="300" t="s">
        <v>151</v>
      </c>
      <c r="B229" s="448">
        <f>D150</f>
        <v>4.43</v>
      </c>
      <c r="C229" s="449" t="s">
        <v>56</v>
      </c>
      <c r="D229" s="449" t="s">
        <v>56</v>
      </c>
      <c r="E229" s="449" t="s">
        <v>56</v>
      </c>
      <c r="F229" s="450" t="s">
        <v>33</v>
      </c>
      <c r="G229" s="183" t="s">
        <v>56</v>
      </c>
      <c r="H229" s="449" t="s">
        <v>47</v>
      </c>
      <c r="I229" s="449" t="s">
        <v>22</v>
      </c>
      <c r="J229" s="183" t="s">
        <v>22</v>
      </c>
      <c r="K229" s="451" t="s">
        <v>47</v>
      </c>
      <c r="L229" s="183" t="s">
        <v>40</v>
      </c>
      <c r="M229" s="183" t="s">
        <v>33</v>
      </c>
      <c r="N229" s="183" t="s">
        <v>35</v>
      </c>
      <c r="O229" s="1"/>
      <c r="P229" s="467" t="s">
        <v>40</v>
      </c>
    </row>
    <row r="230" spans="1:16" ht="15" customHeight="1" x14ac:dyDescent="0.2">
      <c r="A230" s="35"/>
      <c r="B230" s="449"/>
      <c r="C230" s="452" t="s">
        <v>40</v>
      </c>
      <c r="D230" s="449" t="s">
        <v>41</v>
      </c>
      <c r="E230" s="183" t="s">
        <v>32</v>
      </c>
      <c r="F230" s="453" t="s">
        <v>50</v>
      </c>
      <c r="G230" s="183" t="s">
        <v>33</v>
      </c>
      <c r="H230" s="449" t="s">
        <v>35</v>
      </c>
      <c r="I230" s="449" t="s">
        <v>37</v>
      </c>
      <c r="J230" s="183" t="s">
        <v>38</v>
      </c>
      <c r="K230" s="451" t="s">
        <v>28</v>
      </c>
      <c r="L230" s="183" t="s">
        <v>39</v>
      </c>
      <c r="M230" s="183" t="s">
        <v>39</v>
      </c>
      <c r="N230" s="183" t="s">
        <v>39</v>
      </c>
      <c r="O230" s="1"/>
      <c r="P230" s="467" t="s">
        <v>39</v>
      </c>
    </row>
    <row r="231" spans="1:16" ht="15" customHeight="1" x14ac:dyDescent="0.2">
      <c r="A231" s="35"/>
      <c r="B231" s="449" t="s">
        <v>21</v>
      </c>
      <c r="C231" s="311" t="s">
        <v>53</v>
      </c>
      <c r="D231" s="311" t="s">
        <v>53</v>
      </c>
      <c r="E231" s="311" t="s">
        <v>53</v>
      </c>
      <c r="F231" s="454" t="s">
        <v>54</v>
      </c>
      <c r="G231" s="311" t="s">
        <v>53</v>
      </c>
      <c r="H231" s="311" t="s">
        <v>53</v>
      </c>
      <c r="I231" s="311" t="s">
        <v>53</v>
      </c>
      <c r="J231" s="311" t="s">
        <v>53</v>
      </c>
      <c r="K231" s="455" t="s">
        <v>118</v>
      </c>
      <c r="L231" s="311" t="s">
        <v>53</v>
      </c>
      <c r="M231" s="311" t="s">
        <v>53</v>
      </c>
      <c r="N231" s="311" t="s">
        <v>53</v>
      </c>
      <c r="O231" s="1"/>
      <c r="P231" s="467" t="s">
        <v>51</v>
      </c>
    </row>
    <row r="232" spans="1:16" ht="15" customHeight="1" x14ac:dyDescent="0.2">
      <c r="A232" s="35"/>
      <c r="B232" s="449">
        <v>1</v>
      </c>
      <c r="C232" s="456">
        <f t="shared" ref="C232:E241" si="65">C129</f>
        <v>47.53728571428573</v>
      </c>
      <c r="D232" s="456">
        <f t="shared" si="65"/>
        <v>118.53728571428573</v>
      </c>
      <c r="E232" s="456">
        <f t="shared" si="65"/>
        <v>29.187285714285728</v>
      </c>
      <c r="F232" s="456">
        <f>G232+J232</f>
        <v>42.954285714285732</v>
      </c>
      <c r="G232" s="456">
        <f t="shared" ref="G232:H241" si="66">F129</f>
        <v>28.60428571428573</v>
      </c>
      <c r="H232" s="457">
        <f t="shared" si="66"/>
        <v>0.58299999999999996</v>
      </c>
      <c r="I232" s="458">
        <f>M129</f>
        <v>75</v>
      </c>
      <c r="J232" s="456">
        <f t="shared" ref="J232:J241" si="67">L129</f>
        <v>14.350000000000001</v>
      </c>
      <c r="K232" s="459">
        <f>H232/E232</f>
        <v>1.997445071484158E-2</v>
      </c>
      <c r="L232" s="584">
        <f t="shared" ref="L232:L241" si="68">F149</f>
        <v>1.2768131516032746</v>
      </c>
      <c r="M232" s="584">
        <f t="shared" ref="M232:M241" si="69">H171</f>
        <v>0.76826985042704565</v>
      </c>
      <c r="N232" s="584">
        <f t="shared" ref="N232:N241" si="70">H201</f>
        <v>1.5658538978138997E-2</v>
      </c>
      <c r="O232" s="1"/>
      <c r="P232" s="468">
        <f>L232</f>
        <v>1.2768131516032746</v>
      </c>
    </row>
    <row r="233" spans="1:16" ht="15" customHeight="1" x14ac:dyDescent="0.2">
      <c r="A233" s="35"/>
      <c r="B233" s="449">
        <v>2</v>
      </c>
      <c r="C233" s="127">
        <f t="shared" si="65"/>
        <v>74.78985714285713</v>
      </c>
      <c r="D233" s="127">
        <f t="shared" si="65"/>
        <v>145.78985714285713</v>
      </c>
      <c r="E233" s="127">
        <f t="shared" si="65"/>
        <v>56.439857142857122</v>
      </c>
      <c r="F233" s="127">
        <f t="shared" ref="F233:F241" si="71">G233+J233</f>
        <v>68.532857142857125</v>
      </c>
      <c r="G233" s="127">
        <f t="shared" si="66"/>
        <v>54.182857142857124</v>
      </c>
      <c r="H233" s="460">
        <f t="shared" si="66"/>
        <v>2.2570000000000001</v>
      </c>
      <c r="I233" s="461">
        <f t="shared" ref="I233:I241" si="72">M130</f>
        <v>75</v>
      </c>
      <c r="J233" s="127">
        <f t="shared" si="67"/>
        <v>14.350000000000001</v>
      </c>
      <c r="K233" s="462">
        <f t="shared" ref="K233:K241" si="73">H233/E233</f>
        <v>3.9989470460338329E-2</v>
      </c>
      <c r="L233" s="585">
        <f t="shared" si="68"/>
        <v>1.0043976193810429</v>
      </c>
      <c r="M233" s="585">
        <f t="shared" si="69"/>
        <v>0.72763668998144537</v>
      </c>
      <c r="N233" s="585">
        <f t="shared" si="70"/>
        <v>3.0309882052881407E-2</v>
      </c>
      <c r="O233" s="1"/>
      <c r="P233" s="469">
        <f t="shared" ref="P233:P241" si="74">L233</f>
        <v>1.0043976193810429</v>
      </c>
    </row>
    <row r="234" spans="1:16" ht="15" customHeight="1" x14ac:dyDescent="0.2">
      <c r="A234" s="35"/>
      <c r="B234" s="449">
        <v>3</v>
      </c>
      <c r="C234" s="463">
        <f t="shared" si="65"/>
        <v>97.834714285714284</v>
      </c>
      <c r="D234" s="463">
        <f t="shared" si="65"/>
        <v>168.83471428571428</v>
      </c>
      <c r="E234" s="463">
        <f t="shared" si="65"/>
        <v>79.484714285714276</v>
      </c>
      <c r="F234" s="463">
        <f t="shared" si="71"/>
        <v>89.225714285714275</v>
      </c>
      <c r="G234" s="463">
        <f t="shared" si="66"/>
        <v>74.875714285714281</v>
      </c>
      <c r="H234" s="464">
        <f t="shared" si="66"/>
        <v>4.609</v>
      </c>
      <c r="I234" s="465">
        <f t="shared" si="72"/>
        <v>75</v>
      </c>
      <c r="J234" s="463">
        <f t="shared" si="67"/>
        <v>14.350000000000001</v>
      </c>
      <c r="K234" s="466">
        <f t="shared" si="73"/>
        <v>5.7985991915786149E-2</v>
      </c>
      <c r="L234" s="586">
        <f t="shared" si="68"/>
        <v>0.87592050468999372</v>
      </c>
      <c r="M234" s="586">
        <f t="shared" si="69"/>
        <v>0.67035122393302238</v>
      </c>
      <c r="N234" s="586">
        <f t="shared" si="70"/>
        <v>4.1263697055599E-2</v>
      </c>
      <c r="O234" s="1"/>
      <c r="P234" s="470">
        <f t="shared" si="74"/>
        <v>0.87592050468999372</v>
      </c>
    </row>
    <row r="235" spans="1:16" ht="15" customHeight="1" x14ac:dyDescent="0.2">
      <c r="A235" s="35"/>
      <c r="B235" s="449">
        <v>4</v>
      </c>
      <c r="C235" s="463">
        <f t="shared" si="65"/>
        <v>118.12385714285713</v>
      </c>
      <c r="D235" s="463">
        <f t="shared" si="65"/>
        <v>189.12385714285713</v>
      </c>
      <c r="E235" s="463">
        <f t="shared" si="65"/>
        <v>99.773857142857153</v>
      </c>
      <c r="F235" s="463">
        <f t="shared" si="71"/>
        <v>106.63285714285715</v>
      </c>
      <c r="G235" s="463">
        <f t="shared" si="66"/>
        <v>92.282857142857154</v>
      </c>
      <c r="H235" s="464">
        <f t="shared" si="66"/>
        <v>7.4909999999999997</v>
      </c>
      <c r="I235" s="465">
        <f t="shared" si="72"/>
        <v>75</v>
      </c>
      <c r="J235" s="463">
        <f t="shared" si="67"/>
        <v>14.350000000000001</v>
      </c>
      <c r="K235" s="466">
        <f t="shared" si="73"/>
        <v>7.5079787576762869E-2</v>
      </c>
      <c r="L235" s="586">
        <f t="shared" si="68"/>
        <v>0.79317788159275326</v>
      </c>
      <c r="M235" s="586">
        <f t="shared" si="69"/>
        <v>0.61964610445345703</v>
      </c>
      <c r="N235" s="586">
        <f t="shared" si="70"/>
        <v>5.0299363415625742E-2</v>
      </c>
      <c r="O235" s="1"/>
      <c r="P235" s="470">
        <f t="shared" si="74"/>
        <v>0.79317788159275326</v>
      </c>
    </row>
    <row r="236" spans="1:16" ht="15" customHeight="1" x14ac:dyDescent="0.2">
      <c r="A236" s="35"/>
      <c r="B236" s="449">
        <v>5</v>
      </c>
      <c r="C236" s="127">
        <f t="shared" si="65"/>
        <v>137.03328571428571</v>
      </c>
      <c r="D236" s="127">
        <f t="shared" si="65"/>
        <v>208.03328571428571</v>
      </c>
      <c r="E236" s="127">
        <f t="shared" si="65"/>
        <v>118.68328571428572</v>
      </c>
      <c r="F236" s="127">
        <f t="shared" si="71"/>
        <v>122.35428571428571</v>
      </c>
      <c r="G236" s="127">
        <f t="shared" si="66"/>
        <v>108.00428571428571</v>
      </c>
      <c r="H236" s="460">
        <f t="shared" si="66"/>
        <v>10.679</v>
      </c>
      <c r="I236" s="461">
        <f t="shared" si="72"/>
        <v>75</v>
      </c>
      <c r="J236" s="127">
        <f t="shared" si="67"/>
        <v>14.350000000000001</v>
      </c>
      <c r="K236" s="462">
        <f t="shared" si="73"/>
        <v>8.9978971644821812E-2</v>
      </c>
      <c r="L236" s="585">
        <f t="shared" si="68"/>
        <v>0.73612070516188111</v>
      </c>
      <c r="M236" s="585">
        <f t="shared" si="69"/>
        <v>0.58016786197708536</v>
      </c>
      <c r="N236" s="585">
        <f t="shared" si="70"/>
        <v>5.7364506945985036E-2</v>
      </c>
      <c r="O236" s="1"/>
      <c r="P236" s="469">
        <f t="shared" si="74"/>
        <v>0.73612070516188111</v>
      </c>
    </row>
    <row r="237" spans="1:16" ht="15" customHeight="1" x14ac:dyDescent="0.2">
      <c r="A237" s="35"/>
      <c r="B237" s="449">
        <v>10</v>
      </c>
      <c r="C237" s="463">
        <f t="shared" si="65"/>
        <v>217.18485714285714</v>
      </c>
      <c r="D237" s="463">
        <f t="shared" si="65"/>
        <v>288.18485714285714</v>
      </c>
      <c r="E237" s="463">
        <f t="shared" si="65"/>
        <v>198.83485714285715</v>
      </c>
      <c r="F237" s="463">
        <f t="shared" si="71"/>
        <v>190.30785714285713</v>
      </c>
      <c r="G237" s="463">
        <f t="shared" si="66"/>
        <v>175.95785714285714</v>
      </c>
      <c r="H237" s="464">
        <f t="shared" si="66"/>
        <v>22.876999999999999</v>
      </c>
      <c r="I237" s="465">
        <f t="shared" si="72"/>
        <v>75</v>
      </c>
      <c r="J237" s="463">
        <f t="shared" si="67"/>
        <v>14.350000000000001</v>
      </c>
      <c r="K237" s="466">
        <f t="shared" si="73"/>
        <v>0.11505527918358666</v>
      </c>
      <c r="L237" s="586">
        <f t="shared" si="68"/>
        <v>0.58334100856276672</v>
      </c>
      <c r="M237" s="586">
        <f t="shared" si="69"/>
        <v>0.47259742102594204</v>
      </c>
      <c r="N237" s="586">
        <f t="shared" si="70"/>
        <v>6.1444321818676824E-2</v>
      </c>
      <c r="O237" s="1"/>
      <c r="P237" s="470">
        <f t="shared" si="74"/>
        <v>0.58334100856276672</v>
      </c>
    </row>
    <row r="238" spans="1:16" ht="15" customHeight="1" x14ac:dyDescent="0.2">
      <c r="A238" s="35"/>
      <c r="B238" s="449">
        <v>20</v>
      </c>
      <c r="C238" s="463">
        <f t="shared" si="65"/>
        <v>350.43557142857139</v>
      </c>
      <c r="D238" s="463">
        <f t="shared" si="65"/>
        <v>421.43557142857139</v>
      </c>
      <c r="E238" s="463">
        <f t="shared" si="65"/>
        <v>332.08557142857137</v>
      </c>
      <c r="F238" s="463">
        <f t="shared" si="71"/>
        <v>303.26857142857136</v>
      </c>
      <c r="G238" s="463">
        <f t="shared" si="66"/>
        <v>288.91857142857134</v>
      </c>
      <c r="H238" s="464">
        <f t="shared" si="66"/>
        <v>43.167000000000002</v>
      </c>
      <c r="I238" s="465">
        <f t="shared" si="72"/>
        <v>75</v>
      </c>
      <c r="J238" s="463">
        <f t="shared" si="67"/>
        <v>14.350000000000001</v>
      </c>
      <c r="K238" s="466">
        <f t="shared" si="73"/>
        <v>0.12998758065369556</v>
      </c>
      <c r="L238" s="586">
        <f t="shared" si="68"/>
        <v>0.47062083969083801</v>
      </c>
      <c r="M238" s="586">
        <f t="shared" si="69"/>
        <v>0.38799680207740317</v>
      </c>
      <c r="N238" s="586">
        <f t="shared" si="70"/>
        <v>5.7970167415894183E-2</v>
      </c>
      <c r="O238" s="1"/>
      <c r="P238" s="470">
        <f t="shared" si="74"/>
        <v>0.47062083969083801</v>
      </c>
    </row>
    <row r="239" spans="1:16" ht="15" customHeight="1" x14ac:dyDescent="0.2">
      <c r="A239" s="35"/>
      <c r="B239" s="449">
        <v>30</v>
      </c>
      <c r="C239" s="463">
        <f t="shared" si="65"/>
        <v>471.67314285714281</v>
      </c>
      <c r="D239" s="463">
        <f t="shared" si="65"/>
        <v>542.67314285714281</v>
      </c>
      <c r="E239" s="463">
        <f t="shared" si="65"/>
        <v>453.32314285714278</v>
      </c>
      <c r="F239" s="463">
        <f t="shared" si="71"/>
        <v>408.74714285714282</v>
      </c>
      <c r="G239" s="463">
        <f t="shared" si="66"/>
        <v>394.3971428571428</v>
      </c>
      <c r="H239" s="464">
        <f t="shared" si="66"/>
        <v>58.926000000000002</v>
      </c>
      <c r="I239" s="465">
        <f t="shared" si="72"/>
        <v>75</v>
      </c>
      <c r="J239" s="463">
        <f t="shared" si="67"/>
        <v>14.350000000000001</v>
      </c>
      <c r="K239" s="466">
        <f t="shared" si="73"/>
        <v>0.12998674550037156</v>
      </c>
      <c r="L239" s="586">
        <f t="shared" si="68"/>
        <v>0.42229200581461868</v>
      </c>
      <c r="M239" s="586">
        <f t="shared" si="69"/>
        <v>0.35309794364180819</v>
      </c>
      <c r="N239" s="586">
        <f t="shared" si="70"/>
        <v>5.2755578492042238E-2</v>
      </c>
      <c r="O239" s="1"/>
      <c r="P239" s="470">
        <f t="shared" si="74"/>
        <v>0.42229200581461868</v>
      </c>
    </row>
    <row r="240" spans="1:16" ht="15" customHeight="1" x14ac:dyDescent="0.2">
      <c r="A240" s="35"/>
      <c r="B240" s="449">
        <v>40</v>
      </c>
      <c r="C240" s="463">
        <f t="shared" si="65"/>
        <v>583.07357142857143</v>
      </c>
      <c r="D240" s="463">
        <f t="shared" si="65"/>
        <v>654.07357142857143</v>
      </c>
      <c r="E240" s="463">
        <f t="shared" si="65"/>
        <v>564.7235714285714</v>
      </c>
      <c r="F240" s="463">
        <f t="shared" si="71"/>
        <v>505.66857142857145</v>
      </c>
      <c r="G240" s="463">
        <f t="shared" si="66"/>
        <v>491.31857142857143</v>
      </c>
      <c r="H240" s="464">
        <f t="shared" si="66"/>
        <v>73.405000000000001</v>
      </c>
      <c r="I240" s="465">
        <f t="shared" si="72"/>
        <v>76</v>
      </c>
      <c r="J240" s="463">
        <f t="shared" si="67"/>
        <v>14.350000000000001</v>
      </c>
      <c r="K240" s="466">
        <f t="shared" si="73"/>
        <v>0.1299839491634972</v>
      </c>
      <c r="L240" s="586">
        <f t="shared" si="68"/>
        <v>0.39152214580930744</v>
      </c>
      <c r="M240" s="586">
        <f t="shared" si="69"/>
        <v>0.32990270160368163</v>
      </c>
      <c r="N240" s="586">
        <f t="shared" si="70"/>
        <v>4.9288810192551172E-2</v>
      </c>
      <c r="O240" s="1"/>
      <c r="P240" s="470">
        <f t="shared" si="74"/>
        <v>0.39152214580930744</v>
      </c>
    </row>
    <row r="241" spans="1:21" ht="15" customHeight="1" x14ac:dyDescent="0.2">
      <c r="A241" s="35"/>
      <c r="B241" s="449">
        <v>50</v>
      </c>
      <c r="C241" s="127">
        <f t="shared" si="65"/>
        <v>683.42385714285706</v>
      </c>
      <c r="D241" s="127">
        <f t="shared" si="65"/>
        <v>754.42385714285706</v>
      </c>
      <c r="E241" s="127">
        <f t="shared" si="65"/>
        <v>665.07385714285704</v>
      </c>
      <c r="F241" s="127">
        <f t="shared" si="71"/>
        <v>592.95785714285705</v>
      </c>
      <c r="G241" s="127">
        <f t="shared" si="66"/>
        <v>578.60785714285703</v>
      </c>
      <c r="H241" s="460">
        <f t="shared" si="66"/>
        <v>86.465999999999994</v>
      </c>
      <c r="I241" s="461">
        <f t="shared" si="72"/>
        <v>77</v>
      </c>
      <c r="J241" s="127">
        <f t="shared" si="67"/>
        <v>14.350000000000001</v>
      </c>
      <c r="K241" s="462">
        <f t="shared" si="73"/>
        <v>0.13000962084339937</v>
      </c>
      <c r="L241" s="585">
        <f t="shared" si="68"/>
        <v>0.36712427132002007</v>
      </c>
      <c r="M241" s="585">
        <f t="shared" si="69"/>
        <v>0.3108114471399282</v>
      </c>
      <c r="N241" s="585">
        <f t="shared" si="70"/>
        <v>4.6447040524314462E-2</v>
      </c>
      <c r="O241" s="1"/>
      <c r="P241" s="469">
        <f t="shared" si="74"/>
        <v>0.36712427132002007</v>
      </c>
      <c r="R241" s="486" t="s">
        <v>341</v>
      </c>
      <c r="S241" s="9"/>
      <c r="T241" s="9"/>
      <c r="U241" s="10"/>
    </row>
    <row r="242" spans="1:21" ht="15" customHeight="1" x14ac:dyDescent="0.2">
      <c r="A242" s="35"/>
      <c r="B242" s="1"/>
      <c r="C242" s="1"/>
      <c r="D242" s="1"/>
      <c r="E242" s="1"/>
      <c r="F242" s="1"/>
      <c r="G242" s="1"/>
      <c r="H242" s="1"/>
      <c r="I242" s="1"/>
      <c r="J242" s="1"/>
      <c r="K242" s="1"/>
      <c r="L242" s="1"/>
      <c r="M242" s="1"/>
      <c r="N242" s="1"/>
      <c r="O242" s="1"/>
      <c r="P242" s="22"/>
      <c r="R242" s="487" t="s">
        <v>340</v>
      </c>
      <c r="S242" s="1"/>
      <c r="T242" s="1"/>
      <c r="U242" s="22"/>
    </row>
    <row r="243" spans="1:21" ht="15" customHeight="1" x14ac:dyDescent="0.2">
      <c r="A243" s="35"/>
      <c r="B243" s="1"/>
      <c r="C243" s="1"/>
      <c r="D243" s="1"/>
      <c r="E243" s="1"/>
      <c r="F243" s="1"/>
      <c r="G243" s="1"/>
      <c r="H243" s="1"/>
      <c r="I243" s="1"/>
      <c r="J243" s="1"/>
      <c r="K243" s="1"/>
      <c r="L243" s="447" t="s">
        <v>339</v>
      </c>
      <c r="M243" t="str">
        <f>CONCATENATE(R245,"_",S245,"_",T245,"_",U245)</f>
        <v>128_74_37_e</v>
      </c>
      <c r="N243" s="1"/>
      <c r="O243" s="1"/>
      <c r="P243" s="22"/>
      <c r="R243" s="35"/>
      <c r="S243" s="1"/>
      <c r="T243" s="1"/>
      <c r="U243" s="22"/>
    </row>
    <row r="244" spans="1:21" ht="15" customHeight="1" x14ac:dyDescent="0.2">
      <c r="A244" s="35"/>
      <c r="B244" s="1"/>
      <c r="C244" s="1"/>
      <c r="D244" s="1"/>
      <c r="E244" s="1"/>
      <c r="F244" s="1"/>
      <c r="G244" s="1"/>
      <c r="H244" s="1"/>
      <c r="I244" s="1"/>
      <c r="J244" s="1"/>
      <c r="K244" s="1"/>
      <c r="M244" s="1"/>
      <c r="N244" s="1"/>
      <c r="O244" s="1"/>
      <c r="P244" s="22"/>
      <c r="R244" s="488">
        <f>ROUND((P232*100),0)</f>
        <v>128</v>
      </c>
      <c r="S244" s="489">
        <f>ROUND((P236*100),0)</f>
        <v>74</v>
      </c>
      <c r="T244" s="489">
        <f>ROUND((P241*100),0)</f>
        <v>37</v>
      </c>
      <c r="U244" s="490" t="str">
        <f>IF(C13="v5","a",IF(C13="v6","b",IF(C13="v7","c",IF(C13="v8","d","e"))))</f>
        <v>e</v>
      </c>
    </row>
    <row r="245" spans="1:21" ht="15" customHeight="1" x14ac:dyDescent="0.2">
      <c r="A245" s="35"/>
      <c r="B245" s="1"/>
      <c r="C245" s="1"/>
      <c r="D245" s="1"/>
      <c r="E245" s="1"/>
      <c r="F245" s="1"/>
      <c r="G245" s="1"/>
      <c r="H245" s="1"/>
      <c r="I245" s="1"/>
      <c r="J245" s="1"/>
      <c r="K245" s="1"/>
      <c r="L245" s="491" t="s">
        <v>338</v>
      </c>
      <c r="M245" s="280"/>
      <c r="N245" s="1"/>
      <c r="O245" s="1"/>
      <c r="P245" s="22"/>
      <c r="R245" s="26" t="str">
        <f>TEXT(R244,"0")</f>
        <v>128</v>
      </c>
      <c r="S245" s="39" t="str">
        <f t="shared" ref="S245:U245" si="75">TEXT(S244,"0")</f>
        <v>74</v>
      </c>
      <c r="T245" s="39" t="str">
        <f t="shared" si="75"/>
        <v>37</v>
      </c>
      <c r="U245" s="16" t="str">
        <f t="shared" si="75"/>
        <v>e</v>
      </c>
    </row>
    <row r="246" spans="1:21" ht="15" customHeight="1" x14ac:dyDescent="0.2">
      <c r="A246" s="35"/>
      <c r="B246" s="1"/>
      <c r="C246" s="1"/>
      <c r="D246" s="1"/>
      <c r="E246" s="1"/>
      <c r="F246" s="1"/>
      <c r="G246" s="1"/>
      <c r="H246" s="1"/>
      <c r="I246" s="1"/>
      <c r="J246" s="1"/>
      <c r="K246" s="1"/>
      <c r="L246" s="491" t="s">
        <v>337</v>
      </c>
      <c r="M246" s="1"/>
      <c r="N246" s="1"/>
      <c r="O246" s="1"/>
      <c r="P246" s="22"/>
    </row>
    <row r="247" spans="1:21" ht="15" customHeight="1" x14ac:dyDescent="0.2">
      <c r="A247" s="35"/>
      <c r="B247" s="1"/>
      <c r="C247" s="1"/>
      <c r="D247" s="1"/>
      <c r="E247" s="1"/>
      <c r="F247" s="1"/>
      <c r="G247" s="1"/>
      <c r="H247" s="1"/>
      <c r="I247" s="1"/>
      <c r="J247" s="1"/>
      <c r="K247" s="1"/>
      <c r="L247" s="491" t="s">
        <v>336</v>
      </c>
      <c r="M247" s="1"/>
      <c r="N247" s="1"/>
      <c r="O247" s="1"/>
      <c r="P247" s="22"/>
    </row>
    <row r="248" spans="1:21" ht="15" customHeight="1" x14ac:dyDescent="0.2">
      <c r="A248" s="35"/>
      <c r="B248" s="1"/>
      <c r="C248" s="1"/>
      <c r="D248" s="1"/>
      <c r="E248" s="1"/>
      <c r="F248" s="1"/>
      <c r="G248" s="1"/>
      <c r="H248" s="1"/>
      <c r="I248" s="1"/>
      <c r="J248" s="1"/>
      <c r="K248" s="1"/>
      <c r="L248" s="491" t="s">
        <v>364</v>
      </c>
      <c r="M248" s="1"/>
      <c r="N248" s="1"/>
      <c r="O248" s="1"/>
      <c r="P248" s="22"/>
    </row>
    <row r="249" spans="1:21" ht="15" customHeight="1" x14ac:dyDescent="0.2">
      <c r="A249" s="35"/>
      <c r="B249" s="1"/>
      <c r="C249" s="1"/>
      <c r="D249" s="1"/>
      <c r="E249" s="1"/>
      <c r="F249" s="1"/>
      <c r="G249" s="1"/>
      <c r="H249" s="1"/>
      <c r="I249" s="1"/>
      <c r="J249" s="1"/>
      <c r="K249" s="1"/>
      <c r="L249" s="491" t="s">
        <v>365</v>
      </c>
      <c r="M249" s="1"/>
      <c r="N249" s="1"/>
      <c r="O249" s="1"/>
      <c r="P249" s="22"/>
    </row>
    <row r="250" spans="1:21" ht="15" customHeight="1" x14ac:dyDescent="0.2">
      <c r="A250" s="36"/>
      <c r="B250" s="24"/>
      <c r="C250" s="24"/>
      <c r="D250" s="24"/>
      <c r="E250" s="24"/>
      <c r="F250" s="24"/>
      <c r="G250" s="24"/>
      <c r="H250" s="24"/>
      <c r="I250" s="24"/>
      <c r="J250" s="24"/>
      <c r="K250" s="24"/>
      <c r="L250" s="24"/>
      <c r="M250" s="24"/>
      <c r="N250" s="24"/>
      <c r="O250" s="24"/>
      <c r="P250" s="17"/>
    </row>
    <row r="251" spans="1:21" ht="15" customHeight="1" x14ac:dyDescent="0.2"/>
    <row r="252" spans="1:21" ht="15" customHeight="1" x14ac:dyDescent="0.2"/>
    <row r="253" spans="1:21" ht="15" customHeight="1" x14ac:dyDescent="0.2"/>
    <row r="254" spans="1:21" ht="15" customHeight="1" x14ac:dyDescent="0.2"/>
    <row r="255" spans="1:21" ht="15" customHeight="1" x14ac:dyDescent="0.2"/>
    <row r="256" spans="1:21" ht="15" customHeight="1" x14ac:dyDescent="0.2"/>
    <row r="257" spans="1:21" ht="15" customHeight="1" x14ac:dyDescent="0.2"/>
    <row r="258" spans="1:21" ht="15" customHeight="1" x14ac:dyDescent="0.2"/>
    <row r="259" spans="1:21" ht="15" customHeight="1" x14ac:dyDescent="0.2"/>
    <row r="260" spans="1:21" ht="15" customHeight="1" x14ac:dyDescent="0.2"/>
    <row r="261" spans="1:21" ht="15" customHeight="1" x14ac:dyDescent="0.2"/>
    <row r="262" spans="1:21" ht="15" customHeight="1" x14ac:dyDescent="0.2"/>
    <row r="263" spans="1:21" ht="15" customHeight="1" x14ac:dyDescent="0.2"/>
    <row r="264" spans="1:21" ht="15" customHeight="1" x14ac:dyDescent="0.2"/>
    <row r="265" spans="1:21" ht="15" customHeight="1" x14ac:dyDescent="0.2"/>
    <row r="266" spans="1:21" ht="15" customHeight="1" x14ac:dyDescent="0.2">
      <c r="A266" s="24"/>
      <c r="B266" s="24"/>
      <c r="C266" s="24"/>
      <c r="D266" s="24"/>
      <c r="E266" s="24"/>
      <c r="F266" s="24"/>
      <c r="G266" s="24"/>
      <c r="H266" s="24"/>
      <c r="I266" s="24"/>
      <c r="J266" s="24"/>
      <c r="K266" s="24"/>
      <c r="L266" s="24"/>
      <c r="M266" s="24"/>
      <c r="N266" s="24"/>
      <c r="O266" s="24"/>
      <c r="P266" s="24"/>
      <c r="Q266" s="24"/>
      <c r="R266" s="24"/>
      <c r="S266" s="24"/>
      <c r="T266" s="24"/>
      <c r="U266" s="24"/>
    </row>
    <row r="267" spans="1:21" ht="15" customHeight="1" x14ac:dyDescent="0.2"/>
    <row r="268" spans="1:21" ht="15" customHeight="1" x14ac:dyDescent="0.2"/>
    <row r="269" spans="1:21" ht="15" customHeight="1" x14ac:dyDescent="0.2"/>
    <row r="270" spans="1:21" ht="15" customHeight="1" x14ac:dyDescent="0.2"/>
    <row r="271" spans="1:21" ht="15" customHeight="1" x14ac:dyDescent="0.2"/>
    <row r="272" spans="1:21"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sheetData>
  <pageMargins left="0.45" right="0.45" top="0.5" bottom="0.5" header="0.3" footer="0.3"/>
  <pageSetup scale="77"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theme="8" tint="0.79998168889431442"/>
    <pageSetUpPr fitToPage="1"/>
  </sheetPr>
  <dimension ref="A1:BC400"/>
  <sheetViews>
    <sheetView showGridLines="0" zoomScale="80" zoomScaleNormal="8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55" ht="15" customHeight="1" x14ac:dyDescent="0.2">
      <c r="K1" t="s">
        <v>26</v>
      </c>
      <c r="P1" s="28" t="s">
        <v>362</v>
      </c>
      <c r="BC1" t="s">
        <v>502</v>
      </c>
    </row>
    <row r="2" spans="1:55" ht="15" customHeight="1" x14ac:dyDescent="0.2">
      <c r="A2" s="343" t="s">
        <v>306</v>
      </c>
      <c r="B2" s="331" t="s">
        <v>185</v>
      </c>
      <c r="C2" s="332"/>
      <c r="D2" s="332"/>
      <c r="E2" s="332"/>
      <c r="F2" s="332"/>
    </row>
    <row r="3" spans="1:55" ht="15" customHeight="1" x14ac:dyDescent="0.2">
      <c r="A3" s="764" t="s">
        <v>496</v>
      </c>
      <c r="B3" s="764" t="s">
        <v>497</v>
      </c>
      <c r="C3" s="332"/>
      <c r="D3" s="332"/>
      <c r="E3" s="332"/>
      <c r="F3" s="332"/>
    </row>
    <row r="4" spans="1:55" ht="15" customHeight="1" x14ac:dyDescent="0.2">
      <c r="A4" s="332"/>
      <c r="B4" s="348"/>
      <c r="C4" s="332"/>
      <c r="D4" s="332"/>
      <c r="E4" s="332"/>
      <c r="F4" s="332"/>
      <c r="G4" s="332"/>
    </row>
    <row r="5" spans="1:55" ht="15" customHeight="1" x14ac:dyDescent="0.2">
      <c r="A5" s="332" t="s">
        <v>335</v>
      </c>
      <c r="B5" s="331" t="s">
        <v>186</v>
      </c>
      <c r="C5" s="332"/>
      <c r="D5" s="332"/>
      <c r="E5" s="332"/>
      <c r="F5" s="332"/>
      <c r="G5" s="332"/>
    </row>
    <row r="6" spans="1:55" ht="15" customHeight="1" x14ac:dyDescent="0.2">
      <c r="A6" s="332" t="s">
        <v>335</v>
      </c>
      <c r="B6" s="331" t="s">
        <v>386</v>
      </c>
      <c r="C6" s="332"/>
      <c r="D6" s="332"/>
      <c r="E6" s="332"/>
      <c r="F6" s="332"/>
    </row>
    <row r="7" spans="1:55" ht="15" customHeight="1" x14ac:dyDescent="0.2">
      <c r="A7" s="332"/>
      <c r="B7" s="332"/>
      <c r="C7" s="332"/>
      <c r="D7" s="332"/>
      <c r="E7" s="332"/>
      <c r="F7" s="332"/>
      <c r="P7" s="516" t="s">
        <v>106</v>
      </c>
      <c r="Q7" s="515" t="s">
        <v>107</v>
      </c>
    </row>
    <row r="8" spans="1:55" ht="15" customHeight="1" thickBot="1" x14ac:dyDescent="0.25">
      <c r="B8" s="471" t="s">
        <v>4</v>
      </c>
      <c r="C8" s="472"/>
      <c r="D8" s="472"/>
      <c r="E8" s="7"/>
      <c r="F8" s="7"/>
      <c r="G8" s="7"/>
      <c r="H8" s="7"/>
      <c r="I8" s="7"/>
      <c r="J8" s="7"/>
      <c r="K8" s="7"/>
      <c r="L8" s="8"/>
      <c r="O8" s="212" t="s">
        <v>108</v>
      </c>
      <c r="P8" s="517">
        <v>77</v>
      </c>
      <c r="Q8">
        <v>73</v>
      </c>
      <c r="Y8" s="349"/>
      <c r="Z8" s="349"/>
      <c r="AA8" s="349"/>
      <c r="AB8" s="349"/>
      <c r="AC8" s="349"/>
    </row>
    <row r="9" spans="1:55" ht="15" customHeight="1" x14ac:dyDescent="0.2">
      <c r="A9" t="s">
        <v>182</v>
      </c>
      <c r="B9" s="473" t="s">
        <v>498</v>
      </c>
      <c r="C9" s="474"/>
      <c r="D9" s="475"/>
      <c r="E9" s="158"/>
      <c r="F9" s="158"/>
      <c r="G9" s="158"/>
      <c r="H9" s="158"/>
      <c r="I9" s="158"/>
      <c r="J9" s="158"/>
      <c r="K9" s="158"/>
      <c r="L9" s="158"/>
      <c r="O9" s="212" t="s">
        <v>110</v>
      </c>
      <c r="P9" s="518">
        <v>73</v>
      </c>
      <c r="Q9" s="213">
        <v>69</v>
      </c>
      <c r="Y9" s="349"/>
      <c r="Z9" s="349"/>
      <c r="AA9" s="349"/>
      <c r="AB9" s="349"/>
      <c r="AC9" s="349"/>
    </row>
    <row r="10" spans="1:55" ht="15" customHeight="1" x14ac:dyDescent="0.2">
      <c r="A10" t="s">
        <v>182</v>
      </c>
      <c r="B10" s="476" t="s">
        <v>469</v>
      </c>
      <c r="C10" s="440"/>
      <c r="D10" s="477"/>
      <c r="E10" s="158"/>
      <c r="F10" s="158"/>
      <c r="G10" s="158"/>
      <c r="H10" s="158"/>
      <c r="I10" s="158"/>
      <c r="J10" s="158"/>
      <c r="K10" s="158"/>
      <c r="L10" s="158"/>
      <c r="O10" s="211" t="s">
        <v>109</v>
      </c>
      <c r="P10" s="517">
        <f>P8-P9</f>
        <v>4</v>
      </c>
      <c r="Q10">
        <f>Q8-Q9</f>
        <v>4</v>
      </c>
      <c r="Y10" s="349"/>
      <c r="Z10" s="349"/>
      <c r="AA10" s="349"/>
      <c r="AB10" s="349"/>
      <c r="AC10" s="349"/>
    </row>
    <row r="11" spans="1:55" ht="15" customHeight="1" x14ac:dyDescent="0.2">
      <c r="A11" t="s">
        <v>182</v>
      </c>
      <c r="B11" s="476" t="s">
        <v>499</v>
      </c>
      <c r="C11" s="440"/>
      <c r="D11" s="477"/>
      <c r="E11" s="158"/>
      <c r="F11" s="158"/>
      <c r="G11" s="158"/>
      <c r="H11" s="158"/>
      <c r="I11" s="158"/>
      <c r="J11" s="158"/>
      <c r="K11" s="158"/>
      <c r="L11" s="158"/>
      <c r="Y11" s="349"/>
      <c r="Z11" s="349"/>
      <c r="AA11" s="349"/>
      <c r="AB11" s="349"/>
      <c r="AC11" s="349"/>
    </row>
    <row r="12" spans="1:55" ht="15" customHeight="1" x14ac:dyDescent="0.2">
      <c r="A12" t="s">
        <v>182</v>
      </c>
      <c r="B12" s="476" t="s">
        <v>470</v>
      </c>
      <c r="C12" s="440"/>
      <c r="D12" s="478" t="s">
        <v>334</v>
      </c>
      <c r="E12" s="519"/>
      <c r="F12" s="158"/>
      <c r="G12" s="158"/>
      <c r="H12" s="158"/>
      <c r="I12" s="158"/>
      <c r="J12" s="158"/>
      <c r="K12" s="158"/>
      <c r="L12" s="158"/>
      <c r="M12" s="41"/>
      <c r="Y12" s="349"/>
      <c r="Z12" s="349"/>
      <c r="AA12" s="349"/>
      <c r="AB12" s="349"/>
      <c r="AC12" s="349"/>
    </row>
    <row r="13" spans="1:55" ht="15" customHeight="1" thickBot="1" x14ac:dyDescent="0.25">
      <c r="A13" t="s">
        <v>182</v>
      </c>
      <c r="B13" s="479" t="s">
        <v>112</v>
      </c>
      <c r="C13" s="480" t="s">
        <v>500</v>
      </c>
      <c r="D13" s="481"/>
      <c r="E13" s="158"/>
      <c r="F13" s="158"/>
      <c r="G13" s="158"/>
      <c r="H13" s="158"/>
      <c r="I13" s="158"/>
      <c r="J13" s="158"/>
      <c r="K13" s="158"/>
      <c r="L13" s="158"/>
      <c r="M13" s="41"/>
      <c r="AA13" s="90" t="s">
        <v>305</v>
      </c>
      <c r="AE13" s="349"/>
      <c r="AF13" s="349"/>
    </row>
    <row r="14" spans="1:55" ht="15" customHeight="1" x14ac:dyDescent="0.2">
      <c r="A14" s="41"/>
      <c r="B14" s="771" t="s">
        <v>501</v>
      </c>
      <c r="C14" s="40"/>
      <c r="D14" s="40"/>
      <c r="E14" s="40"/>
      <c r="F14" s="40"/>
      <c r="G14" s="40"/>
      <c r="H14" s="40"/>
      <c r="I14" s="40"/>
      <c r="J14" s="40"/>
      <c r="K14" s="40"/>
      <c r="L14" s="40"/>
      <c r="M14" s="41"/>
      <c r="AE14" s="349"/>
      <c r="AF14" s="349"/>
    </row>
    <row r="15" spans="1:55" ht="15" customHeight="1" x14ac:dyDescent="0.2">
      <c r="A15" s="41"/>
      <c r="B15" s="782" t="s">
        <v>518</v>
      </c>
      <c r="C15" s="40"/>
      <c r="D15" s="40"/>
      <c r="E15" s="40"/>
      <c r="AA15" s="331" t="s">
        <v>294</v>
      </c>
      <c r="AB15" s="332" t="s">
        <v>204</v>
      </c>
      <c r="AC15" s="332"/>
      <c r="AD15" s="349"/>
      <c r="AE15" s="349"/>
      <c r="AF15" s="349"/>
    </row>
    <row r="16" spans="1:55" ht="15" customHeight="1" x14ac:dyDescent="0.2">
      <c r="A16" s="768"/>
      <c r="B16" s="845" t="s">
        <v>582</v>
      </c>
      <c r="C16" s="42"/>
      <c r="D16" s="40"/>
      <c r="E16" s="40"/>
      <c r="F16" s="40"/>
      <c r="G16" s="40"/>
      <c r="H16" s="40"/>
      <c r="I16" s="40"/>
      <c r="J16" s="40"/>
      <c r="K16" s="40"/>
      <c r="L16" s="40"/>
      <c r="M16" s="41"/>
      <c r="AA16" s="105" t="s">
        <v>44</v>
      </c>
      <c r="AB16" s="332" t="s">
        <v>205</v>
      </c>
      <c r="AC16" s="332"/>
      <c r="AD16" s="349"/>
      <c r="AE16" s="349"/>
      <c r="AF16" s="349"/>
    </row>
    <row r="17" spans="1:32" ht="15" customHeight="1" x14ac:dyDescent="0.2">
      <c r="A17" s="41"/>
      <c r="B17" s="846"/>
      <c r="C17" s="27" t="s">
        <v>583</v>
      </c>
      <c r="M17" s="41"/>
      <c r="AA17" s="105" t="s">
        <v>45</v>
      </c>
      <c r="AB17" s="343" t="s">
        <v>223</v>
      </c>
      <c r="AC17" s="332"/>
      <c r="AD17" s="349"/>
      <c r="AE17" s="349"/>
      <c r="AF17" s="349"/>
    </row>
    <row r="18" spans="1:32" ht="15" customHeight="1" x14ac:dyDescent="0.2">
      <c r="A18" s="41"/>
      <c r="B18" s="771" t="s">
        <v>375</v>
      </c>
      <c r="C18" s="40"/>
      <c r="D18" s="40"/>
      <c r="E18" s="40"/>
      <c r="F18" s="40"/>
      <c r="G18" s="40"/>
      <c r="H18" s="40"/>
      <c r="I18" s="40"/>
      <c r="J18" s="40"/>
      <c r="K18" s="40"/>
      <c r="L18" s="40"/>
      <c r="M18" s="41"/>
      <c r="AA18" s="105" t="s">
        <v>48</v>
      </c>
      <c r="AB18" s="343" t="s">
        <v>217</v>
      </c>
      <c r="AC18" s="332"/>
      <c r="AD18" s="349"/>
      <c r="AE18" s="349"/>
      <c r="AF18" s="349"/>
    </row>
    <row r="19" spans="1:32" ht="15" customHeight="1" x14ac:dyDescent="0.2">
      <c r="A19" s="41"/>
      <c r="B19" s="336" t="s">
        <v>315</v>
      </c>
      <c r="C19" s="415">
        <v>13</v>
      </c>
      <c r="D19" s="769"/>
      <c r="E19" s="9"/>
      <c r="F19" s="341"/>
      <c r="G19" s="40"/>
      <c r="H19" s="40"/>
      <c r="I19" s="40"/>
      <c r="J19" s="40"/>
      <c r="K19" s="40"/>
      <c r="L19" s="40"/>
      <c r="M19" s="41"/>
      <c r="AA19" s="105" t="s">
        <v>75</v>
      </c>
      <c r="AB19" s="343" t="s">
        <v>214</v>
      </c>
      <c r="AC19" s="332"/>
      <c r="AD19" s="349"/>
      <c r="AE19" s="349"/>
      <c r="AF19" s="349"/>
    </row>
    <row r="20" spans="1:32" ht="15" customHeight="1" x14ac:dyDescent="0.2">
      <c r="A20" s="41"/>
      <c r="B20" s="338"/>
      <c r="C20" s="335" t="str">
        <f>L299</f>
        <v xml:space="preserve">C-ZETA CURVE NAME   (create manually) </v>
      </c>
      <c r="D20" s="40" t="str">
        <f>M299</f>
        <v xml:space="preserve"> 130_82_35_g</v>
      </c>
      <c r="E20" s="40"/>
      <c r="F20" s="770"/>
      <c r="G20" s="40"/>
      <c r="H20" s="40"/>
      <c r="I20" s="40"/>
      <c r="J20" s="40"/>
      <c r="K20" s="40"/>
      <c r="L20" s="40"/>
      <c r="M20" s="41"/>
      <c r="AA20" s="105" t="s">
        <v>80</v>
      </c>
      <c r="AB20" s="343" t="s">
        <v>293</v>
      </c>
      <c r="AC20" s="332"/>
      <c r="AD20" s="349"/>
      <c r="AE20" s="349"/>
      <c r="AF20" s="349"/>
    </row>
    <row r="21" spans="1:32" ht="15" customHeight="1" x14ac:dyDescent="0.2">
      <c r="B21" s="340"/>
      <c r="C21" s="24"/>
      <c r="D21" s="24"/>
      <c r="E21" s="24"/>
      <c r="F21" s="17"/>
      <c r="AA21" s="105"/>
      <c r="AB21" s="343" t="s">
        <v>224</v>
      </c>
      <c r="AC21" s="332"/>
      <c r="AD21" s="349"/>
      <c r="AE21" s="349"/>
      <c r="AF21" s="349"/>
    </row>
    <row r="22" spans="1:32" ht="15" customHeight="1" x14ac:dyDescent="0.2">
      <c r="A22" s="90" t="s">
        <v>44</v>
      </c>
      <c r="B22" s="64" t="s">
        <v>62</v>
      </c>
      <c r="AA22" s="105"/>
      <c r="AB22" s="332" t="s">
        <v>208</v>
      </c>
      <c r="AC22" s="332"/>
      <c r="AD22" s="349"/>
      <c r="AE22" s="349"/>
      <c r="AF22" s="349"/>
    </row>
    <row r="23" spans="1:32" ht="15" customHeight="1" x14ac:dyDescent="0.2">
      <c r="B23" s="764" t="s">
        <v>516</v>
      </c>
      <c r="AA23" s="105" t="s">
        <v>82</v>
      </c>
      <c r="AB23" s="332" t="s">
        <v>209</v>
      </c>
      <c r="AC23" s="332"/>
      <c r="AD23" s="349"/>
      <c r="AE23" s="349"/>
      <c r="AF23" s="349"/>
    </row>
    <row r="24" spans="1:32" ht="15" customHeight="1" x14ac:dyDescent="0.2">
      <c r="B24" s="28" t="s">
        <v>63</v>
      </c>
      <c r="AA24" s="105" t="s">
        <v>85</v>
      </c>
      <c r="AB24" s="332" t="s">
        <v>210</v>
      </c>
      <c r="AC24" s="332"/>
      <c r="AD24" s="349"/>
      <c r="AE24" s="349"/>
      <c r="AF24" s="349"/>
    </row>
    <row r="25" spans="1:32" ht="15" customHeight="1" x14ac:dyDescent="0.2">
      <c r="B25" s="28" t="s">
        <v>127</v>
      </c>
      <c r="F25" s="791" t="s">
        <v>514</v>
      </c>
      <c r="I25" s="530" t="s">
        <v>398</v>
      </c>
      <c r="AA25" s="105" t="s">
        <v>95</v>
      </c>
      <c r="AB25" s="343" t="s">
        <v>211</v>
      </c>
      <c r="AC25" s="332"/>
      <c r="AD25" s="349"/>
      <c r="AE25" s="349"/>
      <c r="AF25" s="349"/>
    </row>
    <row r="26" spans="1:32" ht="15" customHeight="1" x14ac:dyDescent="0.2">
      <c r="F26" s="792" t="s">
        <v>84</v>
      </c>
      <c r="I26" s="778" t="s">
        <v>511</v>
      </c>
      <c r="J26" s="1"/>
      <c r="AA26" s="105" t="s">
        <v>98</v>
      </c>
      <c r="AB26" s="343" t="s">
        <v>212</v>
      </c>
      <c r="AC26" s="332"/>
      <c r="AD26" s="349"/>
    </row>
    <row r="27" spans="1:32" ht="15" customHeight="1" x14ac:dyDescent="0.2">
      <c r="B27" s="67"/>
      <c r="C27" s="396" t="s">
        <v>28</v>
      </c>
      <c r="D27" s="396" t="s">
        <v>28</v>
      </c>
      <c r="E27" s="773" t="s">
        <v>28</v>
      </c>
      <c r="F27" s="793" t="s">
        <v>28</v>
      </c>
      <c r="G27" s="783" t="s">
        <v>28</v>
      </c>
      <c r="I27" s="396" t="s">
        <v>28</v>
      </c>
      <c r="J27" s="382" t="s">
        <v>125</v>
      </c>
      <c r="L27" s="28" t="s">
        <v>504</v>
      </c>
      <c r="AA27" s="105"/>
      <c r="AB27" s="332"/>
      <c r="AC27" s="332"/>
      <c r="AD27" s="349"/>
    </row>
    <row r="28" spans="1:32" ht="15" customHeight="1" x14ac:dyDescent="0.2">
      <c r="A28">
        <v>2.52</v>
      </c>
      <c r="B28" s="67" t="s">
        <v>506</v>
      </c>
      <c r="C28" s="388" t="s">
        <v>260</v>
      </c>
      <c r="D28" s="388" t="s">
        <v>261</v>
      </c>
      <c r="E28" s="774" t="s">
        <v>31</v>
      </c>
      <c r="F28" s="794">
        <v>3514</v>
      </c>
      <c r="G28" s="784" t="s">
        <v>512</v>
      </c>
      <c r="I28" s="779">
        <v>2913</v>
      </c>
      <c r="J28" s="383" t="s">
        <v>34</v>
      </c>
      <c r="L28" s="28" t="s">
        <v>503</v>
      </c>
      <c r="AA28" s="343" t="s">
        <v>226</v>
      </c>
      <c r="AB28" s="332"/>
      <c r="AC28" s="332"/>
      <c r="AD28" s="349"/>
    </row>
    <row r="29" spans="1:32" ht="15" customHeight="1" x14ac:dyDescent="0.2">
      <c r="B29" s="68" t="s">
        <v>21</v>
      </c>
      <c r="C29" s="397" t="s">
        <v>29</v>
      </c>
      <c r="D29" s="397" t="s">
        <v>30</v>
      </c>
      <c r="E29" s="775" t="s">
        <v>74</v>
      </c>
      <c r="F29" s="795" t="s">
        <v>30</v>
      </c>
      <c r="G29" s="785" t="s">
        <v>30</v>
      </c>
      <c r="I29" s="397" t="s">
        <v>30</v>
      </c>
      <c r="J29" s="383" t="s">
        <v>35</v>
      </c>
      <c r="L29" s="28" t="s">
        <v>505</v>
      </c>
      <c r="AA29" s="343" t="s">
        <v>295</v>
      </c>
      <c r="AB29" s="332"/>
      <c r="AC29" s="332"/>
      <c r="AD29" s="349"/>
    </row>
    <row r="30" spans="1:32" ht="15" customHeight="1" x14ac:dyDescent="0.2">
      <c r="A30">
        <f>B30*$A$28</f>
        <v>2.52</v>
      </c>
      <c r="B30" s="68">
        <v>1</v>
      </c>
      <c r="C30" s="398">
        <v>2</v>
      </c>
      <c r="D30" s="398">
        <v>0.75</v>
      </c>
      <c r="E30" s="776">
        <f>SUM(C30:D30)/2</f>
        <v>1.375</v>
      </c>
      <c r="F30" s="796">
        <v>5.57</v>
      </c>
      <c r="G30" s="786">
        <v>5.57</v>
      </c>
      <c r="I30" s="780">
        <v>6.77</v>
      </c>
      <c r="J30" s="384">
        <v>1.58</v>
      </c>
      <c r="L30" s="530" t="s">
        <v>508</v>
      </c>
      <c r="U30" s="350"/>
      <c r="V30" s="349"/>
      <c r="W30" s="349"/>
      <c r="X30" s="349"/>
    </row>
    <row r="31" spans="1:32" ht="15" customHeight="1" x14ac:dyDescent="0.2">
      <c r="A31">
        <f t="shared" ref="A31:A44" si="0">B31*$A$28</f>
        <v>5.04</v>
      </c>
      <c r="B31" s="68">
        <v>2</v>
      </c>
      <c r="C31" s="398">
        <v>4</v>
      </c>
      <c r="D31" s="398">
        <v>2</v>
      </c>
      <c r="E31" s="776">
        <f t="shared" ref="E31:E39" si="1">SUM(C31:D31)/2</f>
        <v>3</v>
      </c>
      <c r="F31" s="797">
        <v>8.57</v>
      </c>
      <c r="G31" s="787">
        <v>8.57</v>
      </c>
      <c r="I31" s="780">
        <v>12.08</v>
      </c>
      <c r="J31" s="385">
        <v>4.8899999999999997</v>
      </c>
      <c r="L31" s="530" t="s">
        <v>509</v>
      </c>
      <c r="U31" s="350"/>
      <c r="V31" s="349"/>
      <c r="W31" s="349"/>
      <c r="X31" s="349"/>
    </row>
    <row r="32" spans="1:32" ht="15" customHeight="1" x14ac:dyDescent="0.2">
      <c r="A32">
        <f t="shared" si="0"/>
        <v>7.5600000000000005</v>
      </c>
      <c r="B32" s="68">
        <v>3</v>
      </c>
      <c r="C32" s="398">
        <v>5.8</v>
      </c>
      <c r="D32" s="398">
        <v>3.3</v>
      </c>
      <c r="E32" s="776">
        <f t="shared" si="1"/>
        <v>4.55</v>
      </c>
      <c r="F32" s="797">
        <v>12.75</v>
      </c>
      <c r="G32" s="787">
        <v>12.75</v>
      </c>
      <c r="I32" s="780">
        <v>17.86</v>
      </c>
      <c r="J32" s="386">
        <v>10.53</v>
      </c>
      <c r="L32" s="530" t="s">
        <v>510</v>
      </c>
    </row>
    <row r="33" spans="1:10" ht="15" customHeight="1" x14ac:dyDescent="0.2">
      <c r="A33">
        <f t="shared" si="0"/>
        <v>10.08</v>
      </c>
      <c r="B33" s="68">
        <v>4</v>
      </c>
      <c r="C33" s="398">
        <v>7.51</v>
      </c>
      <c r="D33" s="398">
        <v>4.7</v>
      </c>
      <c r="E33" s="776">
        <f t="shared" si="1"/>
        <v>6.1050000000000004</v>
      </c>
      <c r="F33" s="797">
        <v>16.670000000000002</v>
      </c>
      <c r="G33" s="787">
        <v>16.670000000000002</v>
      </c>
      <c r="I33" s="780">
        <v>22.07</v>
      </c>
      <c r="J33" s="386">
        <v>17.59</v>
      </c>
    </row>
    <row r="34" spans="1:10" ht="15" customHeight="1" x14ac:dyDescent="0.2">
      <c r="A34">
        <f t="shared" si="0"/>
        <v>12.6</v>
      </c>
      <c r="B34" s="68">
        <v>5</v>
      </c>
      <c r="C34" s="398">
        <v>9</v>
      </c>
      <c r="D34" s="398">
        <v>5.9</v>
      </c>
      <c r="E34" s="776">
        <f t="shared" si="1"/>
        <v>7.45</v>
      </c>
      <c r="F34" s="797">
        <v>19.86</v>
      </c>
      <c r="G34" s="787">
        <v>19.86</v>
      </c>
      <c r="I34" s="780">
        <v>25.25</v>
      </c>
      <c r="J34" s="385">
        <v>25.6</v>
      </c>
    </row>
    <row r="35" spans="1:10" ht="15" customHeight="1" x14ac:dyDescent="0.2">
      <c r="A35">
        <f t="shared" si="0"/>
        <v>25.2</v>
      </c>
      <c r="B35" s="68">
        <v>10</v>
      </c>
      <c r="C35" s="398">
        <v>11.51</v>
      </c>
      <c r="D35" s="398">
        <v>10</v>
      </c>
      <c r="E35" s="776">
        <f t="shared" si="1"/>
        <v>10.754999999999999</v>
      </c>
      <c r="F35" s="797">
        <v>19.329999999999998</v>
      </c>
      <c r="G35" s="787">
        <v>19.329999999999998</v>
      </c>
      <c r="I35" s="780">
        <v>22.49</v>
      </c>
      <c r="J35" s="386">
        <v>39.6</v>
      </c>
    </row>
    <row r="36" spans="1:10" ht="15" customHeight="1" x14ac:dyDescent="0.2">
      <c r="A36">
        <f t="shared" si="0"/>
        <v>50.4</v>
      </c>
      <c r="B36" s="68">
        <v>20</v>
      </c>
      <c r="C36" s="398">
        <v>13</v>
      </c>
      <c r="D36" s="398">
        <v>13</v>
      </c>
      <c r="E36" s="776">
        <f t="shared" si="1"/>
        <v>13</v>
      </c>
      <c r="F36" s="797">
        <v>16.899999999999999</v>
      </c>
      <c r="G36" s="787">
        <v>16.64</v>
      </c>
      <c r="I36" s="780">
        <v>17.93</v>
      </c>
      <c r="J36" s="386">
        <v>53.45</v>
      </c>
    </row>
    <row r="37" spans="1:10" ht="15" customHeight="1" x14ac:dyDescent="0.2">
      <c r="A37">
        <f t="shared" si="0"/>
        <v>75.599999999999994</v>
      </c>
      <c r="B37" s="68">
        <v>30</v>
      </c>
      <c r="C37" s="398">
        <v>13</v>
      </c>
      <c r="D37" s="398">
        <v>13</v>
      </c>
      <c r="E37" s="776">
        <f t="shared" si="1"/>
        <v>13</v>
      </c>
      <c r="F37" s="797">
        <v>15.5</v>
      </c>
      <c r="G37" s="787">
        <v>15.42</v>
      </c>
      <c r="I37" s="780">
        <v>15.58</v>
      </c>
      <c r="J37" s="386">
        <v>65.08</v>
      </c>
    </row>
    <row r="38" spans="1:10" ht="15" customHeight="1" x14ac:dyDescent="0.2">
      <c r="A38">
        <f t="shared" si="0"/>
        <v>100.8</v>
      </c>
      <c r="B38" s="68">
        <v>40</v>
      </c>
      <c r="C38" s="398">
        <v>13</v>
      </c>
      <c r="D38" s="398">
        <v>13</v>
      </c>
      <c r="E38" s="776">
        <f t="shared" si="1"/>
        <v>13</v>
      </c>
      <c r="F38" s="797">
        <v>14.3</v>
      </c>
      <c r="G38" s="787">
        <v>14.59</v>
      </c>
      <c r="I38" s="780">
        <v>14.15</v>
      </c>
      <c r="J38" s="386">
        <v>75.42</v>
      </c>
    </row>
    <row r="39" spans="1:10" ht="15" customHeight="1" x14ac:dyDescent="0.2">
      <c r="A39">
        <f t="shared" si="0"/>
        <v>126</v>
      </c>
      <c r="B39" s="68">
        <v>50</v>
      </c>
      <c r="C39" s="399">
        <v>13</v>
      </c>
      <c r="D39" s="399">
        <v>13</v>
      </c>
      <c r="E39" s="777">
        <f t="shared" si="1"/>
        <v>13</v>
      </c>
      <c r="F39" s="798">
        <v>13.5</v>
      </c>
      <c r="G39" s="788">
        <v>13.95</v>
      </c>
      <c r="I39" s="780">
        <v>13.07</v>
      </c>
      <c r="J39" s="387">
        <v>84.64</v>
      </c>
    </row>
    <row r="40" spans="1:10" ht="15" customHeight="1" x14ac:dyDescent="0.2">
      <c r="A40">
        <f t="shared" si="0"/>
        <v>151.19999999999999</v>
      </c>
      <c r="B40" s="68">
        <v>60</v>
      </c>
      <c r="C40">
        <f>A40/40</f>
        <v>3.78</v>
      </c>
      <c r="D40" s="28" t="s">
        <v>507</v>
      </c>
      <c r="F40" s="799">
        <v>13</v>
      </c>
      <c r="G40" s="789">
        <v>13</v>
      </c>
      <c r="I40" s="780">
        <v>13</v>
      </c>
    </row>
    <row r="41" spans="1:10" ht="15" customHeight="1" x14ac:dyDescent="0.2">
      <c r="A41">
        <f t="shared" si="0"/>
        <v>176.4</v>
      </c>
      <c r="B41" s="772">
        <v>70</v>
      </c>
      <c r="F41" s="799">
        <v>13</v>
      </c>
      <c r="G41" s="789">
        <v>13</v>
      </c>
      <c r="I41" s="780">
        <v>13</v>
      </c>
    </row>
    <row r="42" spans="1:10" ht="15" customHeight="1" x14ac:dyDescent="0.2">
      <c r="A42">
        <f t="shared" si="0"/>
        <v>201.6</v>
      </c>
      <c r="B42" s="772">
        <v>80</v>
      </c>
      <c r="C42">
        <f>A42/40</f>
        <v>5.04</v>
      </c>
      <c r="D42" s="28" t="s">
        <v>507</v>
      </c>
      <c r="F42" s="799">
        <v>13</v>
      </c>
      <c r="G42" s="789">
        <v>13</v>
      </c>
      <c r="I42" s="780">
        <v>13</v>
      </c>
    </row>
    <row r="43" spans="1:10" ht="15" customHeight="1" x14ac:dyDescent="0.2">
      <c r="A43">
        <f t="shared" si="0"/>
        <v>226.8</v>
      </c>
      <c r="B43" s="772">
        <v>90</v>
      </c>
      <c r="F43" s="799">
        <v>13</v>
      </c>
      <c r="G43" s="789">
        <v>13</v>
      </c>
      <c r="I43" s="780">
        <v>13</v>
      </c>
    </row>
    <row r="44" spans="1:10" ht="15" customHeight="1" x14ac:dyDescent="0.2">
      <c r="A44">
        <f t="shared" si="0"/>
        <v>252</v>
      </c>
      <c r="B44" s="772">
        <v>100</v>
      </c>
      <c r="C44">
        <f>A44/40</f>
        <v>6.3</v>
      </c>
      <c r="D44" s="28" t="s">
        <v>507</v>
      </c>
      <c r="F44" s="800">
        <v>13</v>
      </c>
      <c r="G44" s="790">
        <v>13</v>
      </c>
      <c r="I44" s="781">
        <v>13</v>
      </c>
    </row>
    <row r="45" spans="1:10" ht="15" customHeight="1" x14ac:dyDescent="0.2">
      <c r="B45" s="803" t="s">
        <v>515</v>
      </c>
      <c r="C45" s="764" t="s">
        <v>517</v>
      </c>
    </row>
    <row r="46" spans="1:10" ht="15" customHeight="1" x14ac:dyDescent="0.2">
      <c r="B46" s="90"/>
      <c r="C46" s="764" t="s">
        <v>513</v>
      </c>
    </row>
    <row r="47" spans="1:10" ht="15" customHeight="1" x14ac:dyDescent="0.2"/>
    <row r="48" spans="1:10" ht="15" customHeight="1" x14ac:dyDescent="0.2">
      <c r="A48" s="64" t="s">
        <v>465</v>
      </c>
      <c r="B48" s="64" t="s">
        <v>466</v>
      </c>
      <c r="E48" s="28" t="s">
        <v>542</v>
      </c>
    </row>
    <row r="49" spans="1:19" ht="15" customHeight="1" x14ac:dyDescent="0.2">
      <c r="A49" s="64"/>
      <c r="E49" s="28"/>
    </row>
    <row r="50" spans="1:19" ht="15" customHeight="1" x14ac:dyDescent="0.2">
      <c r="A50" s="64"/>
      <c r="B50" s="832" t="s">
        <v>559</v>
      </c>
      <c r="C50" s="337"/>
      <c r="D50" s="337"/>
      <c r="E50" s="833"/>
      <c r="F50" s="337"/>
      <c r="G50" s="337"/>
      <c r="H50" s="337"/>
      <c r="I50" s="341"/>
      <c r="L50" s="832" t="s">
        <v>561</v>
      </c>
      <c r="M50" s="337"/>
      <c r="N50" s="337"/>
      <c r="O50" s="833"/>
      <c r="P50" s="337"/>
      <c r="Q50" s="337"/>
      <c r="R50" s="337"/>
      <c r="S50" s="341"/>
    </row>
    <row r="51" spans="1:19" ht="15" customHeight="1" x14ac:dyDescent="0.2">
      <c r="A51" s="64"/>
      <c r="B51" s="274" t="s">
        <v>560</v>
      </c>
      <c r="C51" s="1"/>
      <c r="D51" s="1"/>
      <c r="E51" s="1"/>
      <c r="F51" s="1"/>
      <c r="G51" s="1"/>
      <c r="H51" s="1"/>
      <c r="I51" s="22"/>
      <c r="L51" s="274" t="s">
        <v>562</v>
      </c>
      <c r="M51" s="1"/>
      <c r="N51" s="1"/>
      <c r="O51" s="1"/>
      <c r="P51" s="1"/>
      <c r="Q51" s="1"/>
      <c r="R51" s="1"/>
      <c r="S51" s="22"/>
    </row>
    <row r="52" spans="1:19" ht="15" customHeight="1" x14ac:dyDescent="0.2">
      <c r="A52" s="64"/>
      <c r="B52" s="834" t="s">
        <v>558</v>
      </c>
      <c r="C52" s="835"/>
      <c r="D52" s="835"/>
      <c r="E52" s="835"/>
      <c r="F52" s="835"/>
      <c r="G52" s="835"/>
      <c r="H52" s="835"/>
      <c r="I52" s="836"/>
      <c r="L52" s="837" t="s">
        <v>563</v>
      </c>
      <c r="M52" s="835"/>
      <c r="N52" s="835"/>
      <c r="O52" s="835"/>
      <c r="P52" s="835"/>
      <c r="Q52" s="835"/>
      <c r="R52" s="835"/>
      <c r="S52" s="836"/>
    </row>
    <row r="53" spans="1:19" ht="15" customHeight="1" x14ac:dyDescent="0.2">
      <c r="A53" s="64"/>
      <c r="B53" s="274"/>
      <c r="C53" s="816" t="s">
        <v>550</v>
      </c>
      <c r="D53" s="2"/>
      <c r="E53" s="2"/>
      <c r="F53" s="816" t="s">
        <v>553</v>
      </c>
      <c r="G53" s="2"/>
      <c r="H53" s="2"/>
      <c r="I53" s="817" t="s">
        <v>556</v>
      </c>
      <c r="L53" s="274"/>
      <c r="M53" s="816" t="s">
        <v>564</v>
      </c>
      <c r="N53" s="2"/>
      <c r="O53" s="2"/>
      <c r="P53" s="816" t="s">
        <v>567</v>
      </c>
      <c r="Q53" s="2"/>
      <c r="R53" s="2"/>
      <c r="S53" s="817" t="s">
        <v>569</v>
      </c>
    </row>
    <row r="54" spans="1:19" ht="15" customHeight="1" x14ac:dyDescent="0.2">
      <c r="B54" s="274"/>
      <c r="C54" s="2"/>
      <c r="D54" s="816" t="s">
        <v>551</v>
      </c>
      <c r="E54" s="2"/>
      <c r="F54" s="818"/>
      <c r="G54" s="816" t="s">
        <v>554</v>
      </c>
      <c r="H54" s="818"/>
      <c r="I54" s="13"/>
      <c r="J54" s="38"/>
      <c r="L54" s="274"/>
      <c r="M54" s="2"/>
      <c r="N54" s="816" t="s">
        <v>570</v>
      </c>
      <c r="O54" s="2"/>
      <c r="P54" s="818"/>
      <c r="Q54" s="816" t="s">
        <v>566</v>
      </c>
      <c r="R54" s="818"/>
      <c r="S54" s="13"/>
    </row>
    <row r="55" spans="1:19" ht="15" customHeight="1" x14ac:dyDescent="0.2">
      <c r="B55" s="274"/>
      <c r="C55" s="818"/>
      <c r="D55" s="2"/>
      <c r="E55" s="819" t="s">
        <v>552</v>
      </c>
      <c r="F55" s="2"/>
      <c r="G55" s="816"/>
      <c r="H55" s="816" t="s">
        <v>555</v>
      </c>
      <c r="I55" s="820"/>
      <c r="J55" s="38"/>
      <c r="K55" s="28"/>
      <c r="L55" s="274"/>
      <c r="M55" s="818"/>
      <c r="N55" s="2"/>
      <c r="O55" s="819" t="s">
        <v>568</v>
      </c>
      <c r="P55" s="2"/>
      <c r="Q55" s="816"/>
      <c r="R55" s="816" t="s">
        <v>565</v>
      </c>
      <c r="S55" s="820"/>
    </row>
    <row r="56" spans="1:19" ht="15" customHeight="1" x14ac:dyDescent="0.2">
      <c r="B56" s="35"/>
      <c r="C56" s="1"/>
      <c r="D56" s="1"/>
      <c r="E56" s="1"/>
      <c r="F56" s="1"/>
      <c r="G56" s="1"/>
      <c r="H56" s="1"/>
      <c r="I56" s="22"/>
      <c r="J56" s="38"/>
      <c r="K56" s="28"/>
      <c r="L56" s="35"/>
      <c r="M56" s="1"/>
      <c r="N56" s="1"/>
      <c r="O56" s="1"/>
      <c r="P56" s="1"/>
      <c r="Q56" s="1"/>
      <c r="R56" s="1"/>
      <c r="S56" s="22"/>
    </row>
    <row r="57" spans="1:19" ht="15" customHeight="1" x14ac:dyDescent="0.2">
      <c r="B57" s="821"/>
      <c r="C57" s="396" t="s">
        <v>28</v>
      </c>
      <c r="D57" s="396" t="s">
        <v>28</v>
      </c>
      <c r="E57" s="396" t="s">
        <v>28</v>
      </c>
      <c r="F57" s="396" t="s">
        <v>28</v>
      </c>
      <c r="G57" s="396" t="s">
        <v>28</v>
      </c>
      <c r="H57" s="396" t="s">
        <v>28</v>
      </c>
      <c r="I57" s="396" t="s">
        <v>28</v>
      </c>
      <c r="L57" s="821"/>
      <c r="M57" s="396" t="s">
        <v>28</v>
      </c>
      <c r="N57" s="396" t="s">
        <v>28</v>
      </c>
      <c r="O57" s="396" t="s">
        <v>28</v>
      </c>
      <c r="P57" s="396" t="s">
        <v>28</v>
      </c>
      <c r="Q57" s="396" t="s">
        <v>28</v>
      </c>
      <c r="R57" s="396" t="s">
        <v>28</v>
      </c>
      <c r="S57" s="396" t="s">
        <v>28</v>
      </c>
    </row>
    <row r="58" spans="1:19" ht="15" customHeight="1" x14ac:dyDescent="0.2">
      <c r="B58" s="821"/>
      <c r="C58" s="815">
        <v>0</v>
      </c>
      <c r="D58" s="815">
        <v>1</v>
      </c>
      <c r="E58" s="815">
        <v>2</v>
      </c>
      <c r="F58" s="815">
        <v>3</v>
      </c>
      <c r="G58" s="815">
        <v>4</v>
      </c>
      <c r="H58" s="815">
        <v>5</v>
      </c>
      <c r="I58" s="815">
        <v>6</v>
      </c>
      <c r="L58" s="821"/>
      <c r="M58" s="815">
        <v>0</v>
      </c>
      <c r="N58" s="815">
        <v>1</v>
      </c>
      <c r="O58" s="815">
        <v>2</v>
      </c>
      <c r="P58" s="815">
        <v>3</v>
      </c>
      <c r="Q58" s="815">
        <v>4</v>
      </c>
      <c r="R58" s="815">
        <v>5</v>
      </c>
      <c r="S58" s="815">
        <v>6</v>
      </c>
    </row>
    <row r="59" spans="1:19" ht="15" customHeight="1" x14ac:dyDescent="0.2">
      <c r="B59" s="821"/>
      <c r="C59" s="388" t="s">
        <v>543</v>
      </c>
      <c r="D59" s="388" t="s">
        <v>544</v>
      </c>
      <c r="E59" s="388" t="s">
        <v>545</v>
      </c>
      <c r="F59" s="388" t="s">
        <v>546</v>
      </c>
      <c r="G59" s="388" t="s">
        <v>547</v>
      </c>
      <c r="H59" s="388" t="s">
        <v>548</v>
      </c>
      <c r="I59" s="388" t="s">
        <v>549</v>
      </c>
      <c r="L59" s="821"/>
      <c r="M59" s="388" t="s">
        <v>543</v>
      </c>
      <c r="N59" s="388" t="s">
        <v>544</v>
      </c>
      <c r="O59" s="388" t="s">
        <v>545</v>
      </c>
      <c r="P59" s="388" t="s">
        <v>546</v>
      </c>
      <c r="Q59" s="388" t="s">
        <v>547</v>
      </c>
      <c r="R59" s="388" t="s">
        <v>548</v>
      </c>
      <c r="S59" s="388" t="s">
        <v>549</v>
      </c>
    </row>
    <row r="60" spans="1:19" ht="15" customHeight="1" x14ac:dyDescent="0.2">
      <c r="B60" s="822" t="s">
        <v>21</v>
      </c>
      <c r="C60" s="397"/>
      <c r="D60" s="397"/>
      <c r="E60" s="397"/>
      <c r="F60" s="397"/>
      <c r="G60" s="397"/>
      <c r="H60" s="397"/>
      <c r="I60" s="397"/>
      <c r="L60" s="822" t="s">
        <v>21</v>
      </c>
      <c r="M60" s="397"/>
      <c r="N60" s="397"/>
      <c r="O60" s="397"/>
      <c r="P60" s="397"/>
      <c r="Q60" s="397"/>
      <c r="R60" s="397"/>
      <c r="S60" s="397"/>
    </row>
    <row r="61" spans="1:19" ht="15" customHeight="1" x14ac:dyDescent="0.2">
      <c r="B61" s="822">
        <v>1</v>
      </c>
      <c r="C61" s="723">
        <v>7.4999999999999997E-3</v>
      </c>
      <c r="D61" s="812">
        <f t="shared" ref="D61:H70" si="2">(($I61-$C61)/6)*D$58+$C61</f>
        <v>2.7916666666666666E-2</v>
      </c>
      <c r="E61" s="812">
        <f t="shared" si="2"/>
        <v>4.8333333333333332E-2</v>
      </c>
      <c r="F61" s="812">
        <f t="shared" si="2"/>
        <v>6.8750000000000006E-2</v>
      </c>
      <c r="G61" s="812">
        <f t="shared" si="2"/>
        <v>8.9166666666666672E-2</v>
      </c>
      <c r="H61" s="812">
        <f t="shared" si="2"/>
        <v>0.10958333333333334</v>
      </c>
      <c r="I61" s="723">
        <v>0.13</v>
      </c>
      <c r="L61" s="822">
        <v>1</v>
      </c>
      <c r="M61" s="812">
        <f t="shared" ref="M61:S61" si="3">C61*1.154</f>
        <v>8.6549999999999995E-3</v>
      </c>
      <c r="N61" s="812">
        <f t="shared" si="3"/>
        <v>3.2215833333333332E-2</v>
      </c>
      <c r="O61" s="812">
        <f t="shared" si="3"/>
        <v>5.5776666666666662E-2</v>
      </c>
      <c r="P61" s="812">
        <f t="shared" si="3"/>
        <v>7.9337500000000005E-2</v>
      </c>
      <c r="Q61" s="812">
        <f t="shared" si="3"/>
        <v>0.10289833333333333</v>
      </c>
      <c r="R61" s="812">
        <f t="shared" si="3"/>
        <v>0.12645916666666665</v>
      </c>
      <c r="S61" s="838">
        <f t="shared" si="3"/>
        <v>0.15001999999999999</v>
      </c>
    </row>
    <row r="62" spans="1:19" ht="15" customHeight="1" x14ac:dyDescent="0.2">
      <c r="B62" s="822">
        <v>2</v>
      </c>
      <c r="C62" s="724">
        <v>0.02</v>
      </c>
      <c r="D62" s="813">
        <f t="shared" si="2"/>
        <v>3.833333333333333E-2</v>
      </c>
      <c r="E62" s="813">
        <f t="shared" si="2"/>
        <v>5.6666666666666671E-2</v>
      </c>
      <c r="F62" s="813">
        <f t="shared" si="2"/>
        <v>7.4999999999999997E-2</v>
      </c>
      <c r="G62" s="813">
        <f t="shared" si="2"/>
        <v>9.3333333333333338E-2</v>
      </c>
      <c r="H62" s="813">
        <f t="shared" si="2"/>
        <v>0.11166666666666668</v>
      </c>
      <c r="I62" s="724">
        <v>0.13</v>
      </c>
      <c r="L62" s="822">
        <v>2</v>
      </c>
      <c r="M62" s="813">
        <f t="shared" ref="M62:S70" si="4">C62*1.154</f>
        <v>2.308E-2</v>
      </c>
      <c r="N62" s="813">
        <f t="shared" si="4"/>
        <v>4.423666666666666E-2</v>
      </c>
      <c r="O62" s="813">
        <f t="shared" si="4"/>
        <v>6.5393333333333331E-2</v>
      </c>
      <c r="P62" s="813">
        <f t="shared" si="4"/>
        <v>8.6549999999999988E-2</v>
      </c>
      <c r="Q62" s="813">
        <f t="shared" si="4"/>
        <v>0.10770666666666666</v>
      </c>
      <c r="R62" s="813">
        <f t="shared" si="4"/>
        <v>0.12886333333333333</v>
      </c>
      <c r="S62" s="527">
        <f t="shared" si="4"/>
        <v>0.15001999999999999</v>
      </c>
    </row>
    <row r="63" spans="1:19" ht="15" customHeight="1" x14ac:dyDescent="0.2">
      <c r="B63" s="822">
        <v>3</v>
      </c>
      <c r="C63" s="722">
        <v>3.3000000000000002E-2</v>
      </c>
      <c r="D63" s="814">
        <f t="shared" si="2"/>
        <v>4.9166666666666664E-2</v>
      </c>
      <c r="E63" s="814">
        <f t="shared" si="2"/>
        <v>6.5333333333333327E-2</v>
      </c>
      <c r="F63" s="814">
        <f t="shared" si="2"/>
        <v>8.1500000000000003E-2</v>
      </c>
      <c r="G63" s="814">
        <f t="shared" si="2"/>
        <v>9.7666666666666666E-2</v>
      </c>
      <c r="H63" s="814">
        <f t="shared" si="2"/>
        <v>0.11383333333333333</v>
      </c>
      <c r="I63" s="722">
        <v>0.13</v>
      </c>
      <c r="L63" s="822">
        <v>3</v>
      </c>
      <c r="M63" s="814">
        <f t="shared" si="4"/>
        <v>3.8081999999999998E-2</v>
      </c>
      <c r="N63" s="814">
        <f t="shared" si="4"/>
        <v>5.6738333333333328E-2</v>
      </c>
      <c r="O63" s="814">
        <f t="shared" si="4"/>
        <v>7.5394666666666652E-2</v>
      </c>
      <c r="P63" s="814">
        <f t="shared" si="4"/>
        <v>9.4050999999999996E-2</v>
      </c>
      <c r="Q63" s="814">
        <f t="shared" si="4"/>
        <v>0.11270733333333333</v>
      </c>
      <c r="R63" s="814">
        <f t="shared" si="4"/>
        <v>0.13136366666666666</v>
      </c>
      <c r="S63" s="528">
        <f t="shared" si="4"/>
        <v>0.15001999999999999</v>
      </c>
    </row>
    <row r="64" spans="1:19" ht="15" customHeight="1" x14ac:dyDescent="0.2">
      <c r="B64" s="822">
        <v>4</v>
      </c>
      <c r="C64" s="722">
        <v>4.7E-2</v>
      </c>
      <c r="D64" s="814">
        <f t="shared" si="2"/>
        <v>6.0833333333333336E-2</v>
      </c>
      <c r="E64" s="814">
        <f t="shared" si="2"/>
        <v>7.4666666666666673E-2</v>
      </c>
      <c r="F64" s="814">
        <f t="shared" si="2"/>
        <v>8.8499999999999995E-2</v>
      </c>
      <c r="G64" s="814">
        <f t="shared" si="2"/>
        <v>0.10233333333333333</v>
      </c>
      <c r="H64" s="814">
        <f t="shared" si="2"/>
        <v>0.11616666666666667</v>
      </c>
      <c r="I64" s="722">
        <v>0.13</v>
      </c>
      <c r="L64" s="822">
        <v>4</v>
      </c>
      <c r="M64" s="814">
        <f t="shared" si="4"/>
        <v>5.4237999999999995E-2</v>
      </c>
      <c r="N64" s="814">
        <f t="shared" si="4"/>
        <v>7.0201666666666662E-2</v>
      </c>
      <c r="O64" s="814">
        <f t="shared" si="4"/>
        <v>8.616533333333333E-2</v>
      </c>
      <c r="P64" s="814">
        <f t="shared" si="4"/>
        <v>0.10212899999999998</v>
      </c>
      <c r="Q64" s="814">
        <f t="shared" si="4"/>
        <v>0.11809266666666665</v>
      </c>
      <c r="R64" s="814">
        <f t="shared" si="4"/>
        <v>0.13405633333333333</v>
      </c>
      <c r="S64" s="528">
        <f t="shared" si="4"/>
        <v>0.15001999999999999</v>
      </c>
    </row>
    <row r="65" spans="2:19" ht="15" customHeight="1" x14ac:dyDescent="0.2">
      <c r="B65" s="822">
        <v>5</v>
      </c>
      <c r="C65" s="724">
        <v>5.8999999999999997E-2</v>
      </c>
      <c r="D65" s="813">
        <f t="shared" si="2"/>
        <v>7.0833333333333331E-2</v>
      </c>
      <c r="E65" s="813">
        <f t="shared" si="2"/>
        <v>8.2666666666666666E-2</v>
      </c>
      <c r="F65" s="813">
        <f t="shared" si="2"/>
        <v>9.4500000000000001E-2</v>
      </c>
      <c r="G65" s="813">
        <f t="shared" si="2"/>
        <v>0.10633333333333334</v>
      </c>
      <c r="H65" s="813">
        <f t="shared" si="2"/>
        <v>0.11816666666666667</v>
      </c>
      <c r="I65" s="724">
        <v>0.13</v>
      </c>
      <c r="L65" s="822">
        <v>5</v>
      </c>
      <c r="M65" s="813">
        <f t="shared" si="4"/>
        <v>6.8085999999999994E-2</v>
      </c>
      <c r="N65" s="813">
        <f t="shared" si="4"/>
        <v>8.1741666666666657E-2</v>
      </c>
      <c r="O65" s="813">
        <f t="shared" si="4"/>
        <v>9.539733333333332E-2</v>
      </c>
      <c r="P65" s="813">
        <f t="shared" si="4"/>
        <v>0.109053</v>
      </c>
      <c r="Q65" s="813">
        <f t="shared" si="4"/>
        <v>0.12270866666666666</v>
      </c>
      <c r="R65" s="813">
        <f t="shared" si="4"/>
        <v>0.13636433333333334</v>
      </c>
      <c r="S65" s="527">
        <f t="shared" si="4"/>
        <v>0.15001999999999999</v>
      </c>
    </row>
    <row r="66" spans="2:19" ht="15" customHeight="1" x14ac:dyDescent="0.2">
      <c r="B66" s="822">
        <v>10</v>
      </c>
      <c r="C66" s="722">
        <v>0.1</v>
      </c>
      <c r="D66" s="814">
        <f t="shared" si="2"/>
        <v>0.10500000000000001</v>
      </c>
      <c r="E66" s="814">
        <f t="shared" si="2"/>
        <v>0.11</v>
      </c>
      <c r="F66" s="814">
        <f t="shared" si="2"/>
        <v>0.115</v>
      </c>
      <c r="G66" s="814">
        <f t="shared" si="2"/>
        <v>0.12000000000000001</v>
      </c>
      <c r="H66" s="814">
        <f t="shared" si="2"/>
        <v>0.125</v>
      </c>
      <c r="I66" s="722">
        <v>0.13</v>
      </c>
      <c r="L66" s="822">
        <v>10</v>
      </c>
      <c r="M66" s="814">
        <f t="shared" si="4"/>
        <v>0.1154</v>
      </c>
      <c r="N66" s="814">
        <f t="shared" si="4"/>
        <v>0.12117</v>
      </c>
      <c r="O66" s="814">
        <f t="shared" si="4"/>
        <v>0.12694</v>
      </c>
      <c r="P66" s="814">
        <f t="shared" si="4"/>
        <v>0.13270999999999999</v>
      </c>
      <c r="Q66" s="814">
        <f t="shared" si="4"/>
        <v>0.13847999999999999</v>
      </c>
      <c r="R66" s="814">
        <f t="shared" si="4"/>
        <v>0.14424999999999999</v>
      </c>
      <c r="S66" s="528">
        <f t="shared" si="4"/>
        <v>0.15001999999999999</v>
      </c>
    </row>
    <row r="67" spans="2:19" ht="15" customHeight="1" x14ac:dyDescent="0.2">
      <c r="B67" s="822">
        <v>20</v>
      </c>
      <c r="C67" s="398">
        <v>0.13</v>
      </c>
      <c r="D67" s="528">
        <f t="shared" si="2"/>
        <v>0.13</v>
      </c>
      <c r="E67" s="528">
        <f t="shared" si="2"/>
        <v>0.13</v>
      </c>
      <c r="F67" s="528">
        <f t="shared" si="2"/>
        <v>0.13</v>
      </c>
      <c r="G67" s="528">
        <f t="shared" si="2"/>
        <v>0.13</v>
      </c>
      <c r="H67" s="528">
        <f t="shared" si="2"/>
        <v>0.13</v>
      </c>
      <c r="I67" s="722">
        <v>0.13</v>
      </c>
      <c r="L67" s="822">
        <v>20</v>
      </c>
      <c r="M67" s="528">
        <f t="shared" si="4"/>
        <v>0.15001999999999999</v>
      </c>
      <c r="N67" s="528">
        <f t="shared" si="4"/>
        <v>0.15001999999999999</v>
      </c>
      <c r="O67" s="528">
        <f t="shared" si="4"/>
        <v>0.15001999999999999</v>
      </c>
      <c r="P67" s="528">
        <f t="shared" si="4"/>
        <v>0.15001999999999999</v>
      </c>
      <c r="Q67" s="528">
        <f t="shared" si="4"/>
        <v>0.15001999999999999</v>
      </c>
      <c r="R67" s="528">
        <f t="shared" si="4"/>
        <v>0.15001999999999999</v>
      </c>
      <c r="S67" s="528">
        <f t="shared" si="4"/>
        <v>0.15001999999999999</v>
      </c>
    </row>
    <row r="68" spans="2:19" ht="15" customHeight="1" x14ac:dyDescent="0.2">
      <c r="B68" s="822">
        <v>30</v>
      </c>
      <c r="C68" s="398">
        <v>0.13</v>
      </c>
      <c r="D68" s="528">
        <f t="shared" si="2"/>
        <v>0.13</v>
      </c>
      <c r="E68" s="528">
        <f t="shared" si="2"/>
        <v>0.13</v>
      </c>
      <c r="F68" s="528">
        <f t="shared" si="2"/>
        <v>0.13</v>
      </c>
      <c r="G68" s="528">
        <f t="shared" si="2"/>
        <v>0.13</v>
      </c>
      <c r="H68" s="528">
        <f t="shared" si="2"/>
        <v>0.13</v>
      </c>
      <c r="I68" s="722">
        <v>0.13</v>
      </c>
      <c r="L68" s="822">
        <v>30</v>
      </c>
      <c r="M68" s="528">
        <f t="shared" si="4"/>
        <v>0.15001999999999999</v>
      </c>
      <c r="N68" s="528">
        <f t="shared" si="4"/>
        <v>0.15001999999999999</v>
      </c>
      <c r="O68" s="528">
        <f t="shared" si="4"/>
        <v>0.15001999999999999</v>
      </c>
      <c r="P68" s="528">
        <f t="shared" si="4"/>
        <v>0.15001999999999999</v>
      </c>
      <c r="Q68" s="528">
        <f t="shared" si="4"/>
        <v>0.15001999999999999</v>
      </c>
      <c r="R68" s="528">
        <f t="shared" si="4"/>
        <v>0.15001999999999999</v>
      </c>
      <c r="S68" s="528">
        <f t="shared" si="4"/>
        <v>0.15001999999999999</v>
      </c>
    </row>
    <row r="69" spans="2:19" ht="15" customHeight="1" x14ac:dyDescent="0.2">
      <c r="B69" s="822">
        <v>40</v>
      </c>
      <c r="C69" s="398">
        <v>0.13</v>
      </c>
      <c r="D69" s="528">
        <f t="shared" si="2"/>
        <v>0.13</v>
      </c>
      <c r="E69" s="528">
        <f t="shared" si="2"/>
        <v>0.13</v>
      </c>
      <c r="F69" s="528">
        <f t="shared" si="2"/>
        <v>0.13</v>
      </c>
      <c r="G69" s="528">
        <f t="shared" si="2"/>
        <v>0.13</v>
      </c>
      <c r="H69" s="528">
        <f t="shared" si="2"/>
        <v>0.13</v>
      </c>
      <c r="I69" s="722">
        <v>0.13</v>
      </c>
      <c r="L69" s="822">
        <v>40</v>
      </c>
      <c r="M69" s="528">
        <f t="shared" si="4"/>
        <v>0.15001999999999999</v>
      </c>
      <c r="N69" s="528">
        <f t="shared" si="4"/>
        <v>0.15001999999999999</v>
      </c>
      <c r="O69" s="528">
        <f t="shared" si="4"/>
        <v>0.15001999999999999</v>
      </c>
      <c r="P69" s="528">
        <f t="shared" si="4"/>
        <v>0.15001999999999999</v>
      </c>
      <c r="Q69" s="528">
        <f t="shared" si="4"/>
        <v>0.15001999999999999</v>
      </c>
      <c r="R69" s="528">
        <f t="shared" si="4"/>
        <v>0.15001999999999999</v>
      </c>
      <c r="S69" s="528">
        <f t="shared" si="4"/>
        <v>0.15001999999999999</v>
      </c>
    </row>
    <row r="70" spans="2:19" ht="15" customHeight="1" x14ac:dyDescent="0.2">
      <c r="B70" s="823">
        <v>50</v>
      </c>
      <c r="C70" s="725">
        <v>0.13</v>
      </c>
      <c r="D70" s="529">
        <f t="shared" si="2"/>
        <v>0.13</v>
      </c>
      <c r="E70" s="529">
        <f t="shared" si="2"/>
        <v>0.13</v>
      </c>
      <c r="F70" s="529">
        <f t="shared" si="2"/>
        <v>0.13</v>
      </c>
      <c r="G70" s="529">
        <f t="shared" si="2"/>
        <v>0.13</v>
      </c>
      <c r="H70" s="529">
        <f t="shared" si="2"/>
        <v>0.13</v>
      </c>
      <c r="I70" s="726">
        <v>0.13</v>
      </c>
      <c r="L70" s="823">
        <v>50</v>
      </c>
      <c r="M70" s="529">
        <f t="shared" si="4"/>
        <v>0.15001999999999999</v>
      </c>
      <c r="N70" s="529">
        <f t="shared" si="4"/>
        <v>0.15001999999999999</v>
      </c>
      <c r="O70" s="529">
        <f t="shared" si="4"/>
        <v>0.15001999999999999</v>
      </c>
      <c r="P70" s="529">
        <f t="shared" si="4"/>
        <v>0.15001999999999999</v>
      </c>
      <c r="Q70" s="529">
        <f t="shared" si="4"/>
        <v>0.15001999999999999</v>
      </c>
      <c r="R70" s="529">
        <f t="shared" si="4"/>
        <v>0.15001999999999999</v>
      </c>
      <c r="S70" s="529">
        <f t="shared" si="4"/>
        <v>0.15001999999999999</v>
      </c>
    </row>
    <row r="71" spans="2:19" ht="15" customHeight="1" x14ac:dyDescent="0.2">
      <c r="B71" s="66"/>
      <c r="C71" s="827"/>
      <c r="D71" s="828"/>
      <c r="E71" s="828"/>
      <c r="F71" s="828"/>
      <c r="G71" s="828"/>
      <c r="H71" s="828"/>
      <c r="I71" s="829"/>
      <c r="J71" s="41"/>
      <c r="K71" s="41"/>
      <c r="L71" s="41"/>
      <c r="M71" s="41"/>
      <c r="N71" s="830"/>
      <c r="O71" s="41"/>
      <c r="P71" s="41"/>
    </row>
    <row r="72" spans="2:19" ht="15" customHeight="1" x14ac:dyDescent="0.2">
      <c r="J72" s="41"/>
      <c r="K72" s="41"/>
      <c r="L72" s="41"/>
      <c r="M72" s="41"/>
      <c r="N72" s="830"/>
      <c r="O72" s="41"/>
      <c r="P72" s="41"/>
    </row>
    <row r="73" spans="2:19" ht="15" customHeight="1" x14ac:dyDescent="0.2">
      <c r="J73" s="41"/>
      <c r="K73" s="41"/>
      <c r="L73" s="827"/>
      <c r="P73" s="828"/>
    </row>
    <row r="74" spans="2:19" ht="15" customHeight="1" x14ac:dyDescent="0.2">
      <c r="B74" s="832" t="s">
        <v>572</v>
      </c>
      <c r="C74" s="337"/>
      <c r="D74" s="337"/>
      <c r="E74" s="833"/>
      <c r="F74" s="337"/>
      <c r="G74" s="337"/>
      <c r="H74" s="337"/>
      <c r="I74" s="341"/>
      <c r="J74" s="41"/>
      <c r="K74" s="41"/>
      <c r="L74" s="827"/>
      <c r="P74" s="828"/>
    </row>
    <row r="75" spans="2:19" ht="15" customHeight="1" x14ac:dyDescent="0.2">
      <c r="B75" s="274" t="s">
        <v>574</v>
      </c>
      <c r="C75" s="1"/>
      <c r="D75" s="1"/>
      <c r="E75" s="1"/>
      <c r="F75" s="1"/>
      <c r="G75" s="1"/>
      <c r="H75" s="1"/>
      <c r="I75" s="22"/>
      <c r="J75" s="41"/>
      <c r="K75" s="41"/>
      <c r="L75" s="827"/>
      <c r="P75" s="828"/>
    </row>
    <row r="76" spans="2:19" ht="15" customHeight="1" x14ac:dyDescent="0.2">
      <c r="B76" s="837" t="s">
        <v>571</v>
      </c>
      <c r="C76" s="835"/>
      <c r="D76" s="835"/>
      <c r="E76" s="835"/>
      <c r="F76" s="835"/>
      <c r="G76" s="835"/>
      <c r="H76" s="835"/>
      <c r="I76" s="836"/>
      <c r="J76" s="41"/>
      <c r="K76" s="41"/>
      <c r="L76" s="827"/>
      <c r="P76" s="828"/>
    </row>
    <row r="77" spans="2:19" ht="15" customHeight="1" x14ac:dyDescent="0.2">
      <c r="B77" s="66"/>
      <c r="H77" s="828"/>
      <c r="I77" s="829"/>
      <c r="J77" s="41"/>
      <c r="K77" s="41"/>
      <c r="L77" s="827"/>
      <c r="P77" s="828"/>
    </row>
    <row r="78" spans="2:19" ht="15" customHeight="1" x14ac:dyDescent="0.2">
      <c r="B78" s="66"/>
      <c r="C78" s="500" t="s">
        <v>573</v>
      </c>
      <c r="H78" s="828"/>
      <c r="I78" s="829"/>
      <c r="J78" s="41"/>
      <c r="K78" s="41"/>
      <c r="L78" s="827"/>
      <c r="P78" s="828"/>
    </row>
    <row r="79" spans="2:19" ht="15" customHeight="1" x14ac:dyDescent="0.2">
      <c r="B79" s="66"/>
      <c r="C79" s="801" t="s">
        <v>28</v>
      </c>
      <c r="F79" s="283" t="s">
        <v>575</v>
      </c>
      <c r="H79" s="828"/>
      <c r="I79" s="829"/>
      <c r="J79" s="41"/>
      <c r="K79" s="41"/>
      <c r="L79" s="827"/>
      <c r="P79" s="828"/>
    </row>
    <row r="80" spans="2:19" ht="15" customHeight="1" x14ac:dyDescent="0.2">
      <c r="B80" s="66"/>
      <c r="C80" s="802">
        <v>2</v>
      </c>
      <c r="H80" s="828"/>
      <c r="I80" s="829"/>
      <c r="J80" s="41"/>
      <c r="K80" s="41"/>
      <c r="L80" s="827"/>
      <c r="P80" s="828"/>
    </row>
    <row r="81" spans="2:16" ht="15" customHeight="1" x14ac:dyDescent="0.2">
      <c r="B81" s="66"/>
      <c r="C81" s="802" t="s">
        <v>467</v>
      </c>
      <c r="H81" s="828"/>
      <c r="I81" s="829"/>
      <c r="J81" s="41"/>
      <c r="K81" s="41"/>
      <c r="L81" s="827"/>
      <c r="P81" s="828"/>
    </row>
    <row r="82" spans="2:16" ht="15" customHeight="1" x14ac:dyDescent="0.2">
      <c r="B82" s="66"/>
      <c r="C82" s="795"/>
      <c r="H82" s="828"/>
      <c r="I82" s="829"/>
      <c r="J82" s="41"/>
      <c r="K82" s="41"/>
      <c r="L82" s="827"/>
      <c r="P82" s="828"/>
    </row>
    <row r="83" spans="2:16" ht="15" customHeight="1" x14ac:dyDescent="0.2">
      <c r="B83" s="66"/>
      <c r="C83" s="839">
        <f t="shared" ref="C83:C92" si="5">F30*0.01</f>
        <v>5.5700000000000006E-2</v>
      </c>
      <c r="H83" s="828"/>
      <c r="I83" s="829"/>
      <c r="J83" s="41"/>
      <c r="K83" s="41"/>
      <c r="L83" s="827"/>
      <c r="P83" s="828"/>
    </row>
    <row r="84" spans="2:16" ht="15" customHeight="1" x14ac:dyDescent="0.2">
      <c r="B84" s="66"/>
      <c r="C84" s="840">
        <f t="shared" si="5"/>
        <v>8.5699999999999998E-2</v>
      </c>
      <c r="H84" s="828"/>
      <c r="I84" s="829"/>
      <c r="J84" s="41"/>
      <c r="K84" s="41"/>
      <c r="L84" s="827"/>
      <c r="P84" s="828"/>
    </row>
    <row r="85" spans="2:16" ht="15" customHeight="1" x14ac:dyDescent="0.2">
      <c r="B85" s="66"/>
      <c r="C85" s="841">
        <f t="shared" si="5"/>
        <v>0.1275</v>
      </c>
      <c r="H85" s="828"/>
      <c r="I85" s="829"/>
      <c r="J85" s="41"/>
      <c r="K85" s="41"/>
      <c r="L85" s="827"/>
      <c r="P85" s="828"/>
    </row>
    <row r="86" spans="2:16" ht="15" customHeight="1" x14ac:dyDescent="0.2">
      <c r="B86" s="66"/>
      <c r="C86" s="841">
        <f t="shared" si="5"/>
        <v>0.16670000000000001</v>
      </c>
      <c r="H86" s="828"/>
      <c r="I86" s="829"/>
      <c r="J86" s="41"/>
      <c r="K86" s="41"/>
      <c r="L86" s="827"/>
      <c r="P86" s="828"/>
    </row>
    <row r="87" spans="2:16" ht="15" customHeight="1" x14ac:dyDescent="0.2">
      <c r="B87" s="66"/>
      <c r="C87" s="840">
        <f t="shared" si="5"/>
        <v>0.1986</v>
      </c>
      <c r="H87" s="828"/>
      <c r="I87" s="829"/>
      <c r="J87" s="41"/>
      <c r="K87" s="41"/>
      <c r="L87" s="827"/>
      <c r="P87" s="828"/>
    </row>
    <row r="88" spans="2:16" ht="15" customHeight="1" x14ac:dyDescent="0.2">
      <c r="B88" s="66"/>
      <c r="C88" s="841">
        <f t="shared" si="5"/>
        <v>0.1933</v>
      </c>
      <c r="H88" s="828"/>
      <c r="I88" s="829"/>
      <c r="J88" s="41"/>
      <c r="K88" s="41"/>
      <c r="L88" s="827"/>
      <c r="P88" s="828"/>
    </row>
    <row r="89" spans="2:16" ht="15" customHeight="1" x14ac:dyDescent="0.2">
      <c r="B89" s="66"/>
      <c r="C89" s="841">
        <f t="shared" si="5"/>
        <v>0.16899999999999998</v>
      </c>
      <c r="H89" s="828"/>
      <c r="I89" s="829"/>
      <c r="J89" s="41"/>
      <c r="K89" s="41"/>
      <c r="L89" s="41"/>
      <c r="P89" s="41"/>
    </row>
    <row r="90" spans="2:16" ht="15" customHeight="1" x14ac:dyDescent="0.2">
      <c r="B90" s="66"/>
      <c r="C90" s="841">
        <f t="shared" si="5"/>
        <v>0.155</v>
      </c>
      <c r="H90" s="828"/>
      <c r="I90" s="829"/>
    </row>
    <row r="91" spans="2:16" ht="15" customHeight="1" x14ac:dyDescent="0.2">
      <c r="B91" s="721"/>
      <c r="C91" s="841">
        <f t="shared" si="5"/>
        <v>0.14300000000000002</v>
      </c>
      <c r="F91" s="41"/>
      <c r="G91" s="41"/>
      <c r="H91" s="41"/>
      <c r="I91" s="41"/>
    </row>
    <row r="92" spans="2:16" ht="15" customHeight="1" x14ac:dyDescent="0.2">
      <c r="B92" s="721"/>
      <c r="C92" s="842">
        <f t="shared" si="5"/>
        <v>0.13500000000000001</v>
      </c>
      <c r="F92" s="41"/>
      <c r="G92" s="41"/>
      <c r="H92" s="41"/>
      <c r="I92" s="41"/>
    </row>
    <row r="93" spans="2:16" ht="15" customHeight="1" x14ac:dyDescent="0.2">
      <c r="B93" s="721"/>
      <c r="C93" s="830"/>
      <c r="F93" s="41"/>
      <c r="G93" s="41"/>
      <c r="H93" s="41"/>
      <c r="I93" s="41"/>
    </row>
    <row r="94" spans="2:16" ht="15" customHeight="1" x14ac:dyDescent="0.2">
      <c r="B94" s="721"/>
      <c r="C94" s="830"/>
      <c r="F94" s="41"/>
      <c r="G94" s="41"/>
      <c r="H94" s="41"/>
      <c r="I94" s="41"/>
    </row>
    <row r="95" spans="2:16" ht="15" customHeight="1" x14ac:dyDescent="0.2">
      <c r="B95" s="721"/>
      <c r="C95" s="830"/>
      <c r="F95" s="41"/>
      <c r="G95" s="41"/>
      <c r="H95" s="41"/>
      <c r="I95" s="41"/>
    </row>
    <row r="96" spans="2:16" ht="15" customHeight="1" x14ac:dyDescent="0.2">
      <c r="B96" s="721"/>
      <c r="C96" s="830"/>
      <c r="F96" s="41"/>
      <c r="G96" s="41"/>
      <c r="H96" s="41"/>
      <c r="I96" s="41"/>
    </row>
    <row r="97" spans="1:15" ht="15" customHeight="1" x14ac:dyDescent="0.2">
      <c r="B97" s="721"/>
      <c r="C97" s="830"/>
      <c r="F97" s="41"/>
      <c r="G97" s="41"/>
      <c r="H97" s="41"/>
      <c r="I97" s="41"/>
    </row>
    <row r="98" spans="1:15" ht="15" customHeight="1" x14ac:dyDescent="0.2"/>
    <row r="99" spans="1:15" ht="15" customHeight="1" x14ac:dyDescent="0.2"/>
    <row r="100" spans="1:15" ht="15" customHeight="1" x14ac:dyDescent="0.2">
      <c r="A100" s="64" t="s">
        <v>45</v>
      </c>
      <c r="B100" s="64" t="s">
        <v>390</v>
      </c>
    </row>
    <row r="101" spans="1:15" ht="15" customHeight="1" x14ac:dyDescent="0.2">
      <c r="B101" s="64" t="s">
        <v>391</v>
      </c>
    </row>
    <row r="102" spans="1:15" ht="15" customHeight="1" x14ac:dyDescent="0.2">
      <c r="B102" s="764" t="s">
        <v>519</v>
      </c>
      <c r="O102" t="s">
        <v>520</v>
      </c>
    </row>
    <row r="103" spans="1:15" ht="15" customHeight="1" x14ac:dyDescent="0.2"/>
    <row r="104" spans="1:15" ht="15" customHeight="1" x14ac:dyDescent="0.2">
      <c r="B104" s="117" t="s">
        <v>125</v>
      </c>
      <c r="C104" s="117"/>
      <c r="D104" s="117"/>
    </row>
    <row r="105" spans="1:15" ht="15" customHeight="1" x14ac:dyDescent="0.2">
      <c r="B105" s="117" t="s">
        <v>34</v>
      </c>
      <c r="C105" s="117"/>
      <c r="D105" s="117" t="s">
        <v>34</v>
      </c>
    </row>
    <row r="106" spans="1:15" ht="15" customHeight="1" x14ac:dyDescent="0.2">
      <c r="B106" s="117" t="s">
        <v>42</v>
      </c>
      <c r="C106" s="117"/>
      <c r="D106" s="117" t="s">
        <v>42</v>
      </c>
    </row>
    <row r="107" spans="1:15" ht="15" customHeight="1" x14ac:dyDescent="0.2">
      <c r="A107" s="53"/>
      <c r="B107" s="117" t="s">
        <v>43</v>
      </c>
      <c r="C107" s="117" t="s">
        <v>21</v>
      </c>
      <c r="D107" s="117" t="s">
        <v>43</v>
      </c>
    </row>
    <row r="108" spans="1:15" ht="14.25" customHeight="1" x14ac:dyDescent="0.2">
      <c r="B108" s="715">
        <v>27.5</v>
      </c>
      <c r="C108" s="106">
        <v>1</v>
      </c>
      <c r="D108" s="175">
        <v>27.5</v>
      </c>
      <c r="E108" s="38"/>
    </row>
    <row r="109" spans="1:15" ht="15" customHeight="1" x14ac:dyDescent="0.2">
      <c r="B109" s="716">
        <v>50.722857142857116</v>
      </c>
      <c r="C109" s="106">
        <v>2</v>
      </c>
      <c r="D109" s="176">
        <v>50.722857142857116</v>
      </c>
      <c r="E109" s="605">
        <f>D109/D108</f>
        <v>1.8444675324675315</v>
      </c>
    </row>
    <row r="110" spans="1:15" ht="15" customHeight="1" x14ac:dyDescent="0.2">
      <c r="B110" s="65">
        <v>70.465714285714284</v>
      </c>
      <c r="C110" s="106">
        <v>3</v>
      </c>
      <c r="D110" s="717">
        <v>70.465714285714284</v>
      </c>
      <c r="E110" s="605">
        <f t="shared" ref="E110:E112" si="6">D110/D109</f>
        <v>1.3892299892975841</v>
      </c>
    </row>
    <row r="111" spans="1:15" ht="15" customHeight="1" x14ac:dyDescent="0.2">
      <c r="B111" s="65">
        <v>88.022857142857163</v>
      </c>
      <c r="C111" s="106">
        <v>4</v>
      </c>
      <c r="D111" s="717">
        <v>88.022857142857163</v>
      </c>
      <c r="E111" s="605">
        <f t="shared" si="6"/>
        <v>1.2491586587195398</v>
      </c>
    </row>
    <row r="112" spans="1:15" ht="15" customHeight="1" x14ac:dyDescent="0.2">
      <c r="B112" s="716">
        <v>104.64428571428573</v>
      </c>
      <c r="C112" s="106">
        <v>5</v>
      </c>
      <c r="D112" s="176">
        <v>104.64428571428573</v>
      </c>
      <c r="E112" s="605">
        <f t="shared" si="6"/>
        <v>1.1888308231628149</v>
      </c>
    </row>
    <row r="113" spans="1:8" ht="15" customHeight="1" x14ac:dyDescent="0.2">
      <c r="B113" s="65">
        <v>169.99857142857147</v>
      </c>
      <c r="C113" s="106">
        <v>10</v>
      </c>
      <c r="D113" s="177">
        <v>169.99857142857147</v>
      </c>
      <c r="E113" s="605">
        <f>(D113/D112)/5</f>
        <v>0.32490750979508815</v>
      </c>
    </row>
    <row r="114" spans="1:8" ht="15" customHeight="1" x14ac:dyDescent="0.2">
      <c r="B114" s="65">
        <v>276.0057142857143</v>
      </c>
      <c r="C114" s="106">
        <v>20</v>
      </c>
      <c r="D114" s="177">
        <v>276.0057142857143</v>
      </c>
      <c r="E114" s="605">
        <f>(D114/D113)/10</f>
        <v>0.16235766687115016</v>
      </c>
    </row>
    <row r="115" spans="1:8" ht="15" customHeight="1" x14ac:dyDescent="0.2">
      <c r="B115" s="65">
        <v>373.39142857142855</v>
      </c>
      <c r="C115" s="106">
        <v>30</v>
      </c>
      <c r="D115" s="177">
        <v>373.39142857142855</v>
      </c>
      <c r="E115" s="605">
        <f t="shared" ref="E115:E117" si="7">(D115/D114)/10</f>
        <v>0.13528394857249332</v>
      </c>
    </row>
    <row r="116" spans="1:8" ht="15" customHeight="1" x14ac:dyDescent="0.2">
      <c r="B116" s="65">
        <v>461.20571428571418</v>
      </c>
      <c r="C116" s="106">
        <v>40</v>
      </c>
      <c r="D116" s="177">
        <v>461.20571428571418</v>
      </c>
      <c r="E116" s="605">
        <f t="shared" si="7"/>
        <v>0.12351802398096212</v>
      </c>
    </row>
    <row r="117" spans="1:8" ht="15" customHeight="1" x14ac:dyDescent="0.2">
      <c r="B117" s="716">
        <v>538.49857142857138</v>
      </c>
      <c r="C117" s="106">
        <v>50</v>
      </c>
      <c r="D117" s="176">
        <v>538.49857142857138</v>
      </c>
      <c r="E117" s="605">
        <f t="shared" si="7"/>
        <v>0.11675886806011573</v>
      </c>
    </row>
    <row r="118" spans="1:8" ht="15" customHeight="1" x14ac:dyDescent="0.2"/>
    <row r="119" spans="1:8" ht="15" customHeight="1" x14ac:dyDescent="0.2">
      <c r="C119" s="315" t="s">
        <v>126</v>
      </c>
      <c r="H119" s="604"/>
    </row>
    <row r="120" spans="1:8" ht="15" customHeight="1" x14ac:dyDescent="0.2"/>
    <row r="121" spans="1:8" ht="15" customHeight="1" x14ac:dyDescent="0.2"/>
    <row r="122" spans="1:8" ht="15" customHeight="1" x14ac:dyDescent="0.2">
      <c r="A122" s="64" t="s">
        <v>48</v>
      </c>
      <c r="B122" s="64" t="s">
        <v>310</v>
      </c>
    </row>
    <row r="123" spans="1:8" ht="15" customHeight="1" x14ac:dyDescent="0.2">
      <c r="B123" s="64" t="s">
        <v>309</v>
      </c>
    </row>
    <row r="124" spans="1:8" ht="15" customHeight="1" x14ac:dyDescent="0.2">
      <c r="B124" s="90"/>
      <c r="H124" s="53"/>
    </row>
    <row r="125" spans="1:8" ht="15" customHeight="1" x14ac:dyDescent="0.2"/>
    <row r="126" spans="1:8" ht="15" customHeight="1" x14ac:dyDescent="0.2">
      <c r="E126" s="409">
        <f>INDEX(LINEST(D$134:D$138,($C$134:$C$138)^{1,2,3}),1)</f>
        <v>0.21202380952380004</v>
      </c>
      <c r="F126" s="408">
        <f>INDEX(LINEST(D$139:D$143,($C$139:$C$143)^{1,2,3}),1)</f>
        <v>-1.583333333333201E-4</v>
      </c>
      <c r="H126" t="s">
        <v>300</v>
      </c>
    </row>
    <row r="127" spans="1:8" ht="15" customHeight="1" x14ac:dyDescent="0.2">
      <c r="E127" s="409">
        <f>INDEX(LINEST(D$134:D$138,($C$134:$C$138)^{1,2,3}),2)</f>
        <v>-3.0073979591835815</v>
      </c>
      <c r="F127" s="408">
        <f>INDEX(LINEST(D$139:D$143,($C$139:$C$143)^{1,2,3}),2)</f>
        <v>-3.3607142857143966E-2</v>
      </c>
      <c r="H127" t="s">
        <v>301</v>
      </c>
    </row>
    <row r="128" spans="1:8" ht="15" customHeight="1" x14ac:dyDescent="0.2">
      <c r="E128" s="409">
        <f>INDEX(LINEST(D$134:D$138,($C$134:$C$138)^{1,2,3}),3)</f>
        <v>30.757721088435126</v>
      </c>
      <c r="F128" s="408">
        <f>INDEX(LINEST(D$139:D$143,($C$139:$C$143)^{1,2,3}),3)</f>
        <v>11.719761904761924</v>
      </c>
    </row>
    <row r="129" spans="1:11" ht="15" customHeight="1" x14ac:dyDescent="0.2">
      <c r="E129" s="409">
        <f>INDEX(LINEST(D$134:D$138,($C$134:$C$138)^{1,2,3}),4)</f>
        <v>-0.46171428571413742</v>
      </c>
      <c r="F129" s="408">
        <f>INDEX(LINEST(D$139:D$143,($C$139:$C$143)^{1,2,3}),4)</f>
        <v>56.320000000000036</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27.5</v>
      </c>
      <c r="E134" s="114">
        <f>(E$126*($C134)^3)+(E$127*($C134)^2)+(E$128*($C134)^1)+(E$129)</f>
        <v>27.500632653061206</v>
      </c>
      <c r="F134" s="2"/>
      <c r="H134" s="106">
        <v>1</v>
      </c>
      <c r="I134" s="393">
        <f>E134</f>
        <v>27.500632653061206</v>
      </c>
      <c r="J134" s="109">
        <f>B108</f>
        <v>27.5</v>
      </c>
      <c r="K134" s="410">
        <f>I134-J134</f>
        <v>6.3265306120641185E-4</v>
      </c>
    </row>
    <row r="135" spans="1:11" ht="15" customHeight="1" x14ac:dyDescent="0.2">
      <c r="C135" s="106">
        <v>2</v>
      </c>
      <c r="D135" s="110">
        <f t="shared" ref="D135:D143" si="8">D109</f>
        <v>50.722857142857116</v>
      </c>
      <c r="E135" s="114">
        <f t="shared" ref="E135:E138" si="9">(E$126*($C135)^3)+(E$127*($C135)^2)+(E$128*($C135)^1)+(E$129)</f>
        <v>50.720326530612191</v>
      </c>
      <c r="F135" s="2"/>
      <c r="H135" s="106">
        <v>2</v>
      </c>
      <c r="I135" s="393">
        <f t="shared" ref="I135:I138" si="10">E135</f>
        <v>50.720326530612191</v>
      </c>
      <c r="J135" s="110">
        <f t="shared" ref="J135:J143" si="11">B109</f>
        <v>50.722857142857116</v>
      </c>
      <c r="K135" s="411">
        <f t="shared" ref="K135:K143" si="12">I135-J135</f>
        <v>-2.5306122449251234E-3</v>
      </c>
    </row>
    <row r="136" spans="1:11" ht="15" customHeight="1" x14ac:dyDescent="0.2">
      <c r="B136" s="28" t="s">
        <v>308</v>
      </c>
      <c r="C136" s="106">
        <v>3</v>
      </c>
      <c r="D136" s="105">
        <f t="shared" si="8"/>
        <v>70.465714285714284</v>
      </c>
      <c r="E136" s="114">
        <f t="shared" si="9"/>
        <v>70.469510204081615</v>
      </c>
      <c r="F136" s="2"/>
      <c r="H136" s="106">
        <v>3</v>
      </c>
      <c r="I136" s="393">
        <f t="shared" si="10"/>
        <v>70.469510204081615</v>
      </c>
      <c r="J136" s="105">
        <f t="shared" si="11"/>
        <v>70.465714285714284</v>
      </c>
      <c r="K136" s="412">
        <f t="shared" si="12"/>
        <v>3.7959183673308416E-3</v>
      </c>
    </row>
    <row r="137" spans="1:11" ht="15" customHeight="1" x14ac:dyDescent="0.2">
      <c r="C137" s="106">
        <v>4</v>
      </c>
      <c r="D137" s="105">
        <f t="shared" si="8"/>
        <v>88.022857142857163</v>
      </c>
      <c r="E137" s="114">
        <f t="shared" si="9"/>
        <v>88.020326530612266</v>
      </c>
      <c r="F137" s="2"/>
      <c r="H137" s="106">
        <v>4</v>
      </c>
      <c r="I137" s="393">
        <f t="shared" si="10"/>
        <v>88.020326530612266</v>
      </c>
      <c r="J137" s="105">
        <f t="shared" si="11"/>
        <v>88.022857142857163</v>
      </c>
      <c r="K137" s="412">
        <f t="shared" si="12"/>
        <v>-2.5306122448967017E-3</v>
      </c>
    </row>
    <row r="138" spans="1:11" ht="15" customHeight="1" x14ac:dyDescent="0.2">
      <c r="C138" s="106">
        <v>5</v>
      </c>
      <c r="D138" s="110">
        <f t="shared" si="8"/>
        <v>104.64428571428573</v>
      </c>
      <c r="E138" s="114">
        <f t="shared" si="9"/>
        <v>104.64491836734696</v>
      </c>
      <c r="F138" s="2"/>
      <c r="H138" s="106">
        <v>5</v>
      </c>
      <c r="I138" s="393">
        <f t="shared" si="10"/>
        <v>104.64491836734696</v>
      </c>
      <c r="J138" s="110">
        <f t="shared" si="11"/>
        <v>104.64428571428573</v>
      </c>
      <c r="K138" s="411">
        <f t="shared" si="12"/>
        <v>6.3265306123128084E-4</v>
      </c>
    </row>
    <row r="139" spans="1:11" ht="15" customHeight="1" x14ac:dyDescent="0.2">
      <c r="C139" s="106">
        <v>10</v>
      </c>
      <c r="D139" s="105">
        <f t="shared" si="8"/>
        <v>169.99857142857147</v>
      </c>
      <c r="E139" s="416"/>
      <c r="F139" s="115">
        <f>(F$126*($C139)^3)+(F$127*($C139)^2)+(F$128*($C139)^1)+(F$129)</f>
        <v>169.99857142857155</v>
      </c>
      <c r="H139" s="106">
        <v>10</v>
      </c>
      <c r="I139" s="393">
        <f>F139</f>
        <v>169.99857142857155</v>
      </c>
      <c r="J139" s="105">
        <f t="shared" si="11"/>
        <v>169.99857142857147</v>
      </c>
      <c r="K139" s="412">
        <f t="shared" si="12"/>
        <v>0</v>
      </c>
    </row>
    <row r="140" spans="1:11" ht="15" customHeight="1" x14ac:dyDescent="0.2">
      <c r="C140" s="106">
        <v>20</v>
      </c>
      <c r="D140" s="105">
        <f t="shared" si="8"/>
        <v>276.0057142857143</v>
      </c>
      <c r="E140" s="2"/>
      <c r="F140" s="115">
        <f t="shared" ref="F140:F143" si="13">(F$126*($C140)^3)+(F$127*($C140)^2)+(F$128*($C140)^1)+(F$129)</f>
        <v>276.00571428571436</v>
      </c>
      <c r="H140" s="106">
        <v>20</v>
      </c>
      <c r="I140" s="393">
        <f t="shared" ref="I140:I143" si="14">F140</f>
        <v>276.00571428571436</v>
      </c>
      <c r="J140" s="105">
        <f t="shared" si="11"/>
        <v>276.0057142857143</v>
      </c>
      <c r="K140" s="412">
        <f t="shared" si="12"/>
        <v>0</v>
      </c>
    </row>
    <row r="141" spans="1:11" ht="15" customHeight="1" x14ac:dyDescent="0.2">
      <c r="B141" s="28" t="s">
        <v>297</v>
      </c>
      <c r="C141" s="106">
        <v>30</v>
      </c>
      <c r="D141" s="105">
        <f t="shared" si="8"/>
        <v>373.39142857142855</v>
      </c>
      <c r="E141" s="2"/>
      <c r="F141" s="115">
        <f t="shared" si="13"/>
        <v>373.39142857142855</v>
      </c>
      <c r="H141" s="106">
        <v>30</v>
      </c>
      <c r="I141" s="393">
        <f t="shared" si="14"/>
        <v>373.39142857142855</v>
      </c>
      <c r="J141" s="105">
        <f t="shared" si="11"/>
        <v>373.39142857142855</v>
      </c>
      <c r="K141" s="412">
        <f t="shared" si="12"/>
        <v>0</v>
      </c>
    </row>
    <row r="142" spans="1:11" ht="15" customHeight="1" x14ac:dyDescent="0.2">
      <c r="C142" s="106">
        <v>40</v>
      </c>
      <c r="D142" s="105">
        <f t="shared" si="8"/>
        <v>461.20571428571418</v>
      </c>
      <c r="E142" s="2"/>
      <c r="F142" s="115">
        <f t="shared" si="13"/>
        <v>461.20571428571418</v>
      </c>
      <c r="H142" s="106">
        <v>40</v>
      </c>
      <c r="I142" s="393">
        <f t="shared" si="14"/>
        <v>461.20571428571418</v>
      </c>
      <c r="J142" s="105">
        <f t="shared" si="11"/>
        <v>461.20571428571418</v>
      </c>
      <c r="K142" s="412">
        <f t="shared" si="12"/>
        <v>0</v>
      </c>
    </row>
    <row r="143" spans="1:11" ht="15" customHeight="1" x14ac:dyDescent="0.2">
      <c r="C143" s="106">
        <v>50</v>
      </c>
      <c r="D143" s="110">
        <f t="shared" si="8"/>
        <v>538.49857142857138</v>
      </c>
      <c r="E143" s="2"/>
      <c r="F143" s="115">
        <f t="shared" si="13"/>
        <v>538.49857142857127</v>
      </c>
      <c r="H143" s="106">
        <v>50</v>
      </c>
      <c r="I143" s="394">
        <f t="shared" si="14"/>
        <v>538.49857142857127</v>
      </c>
      <c r="J143" s="110">
        <f t="shared" si="11"/>
        <v>538.49857142857138</v>
      </c>
      <c r="K143" s="411">
        <f t="shared" si="12"/>
        <v>0</v>
      </c>
    </row>
    <row r="144" spans="1:11" ht="15" customHeight="1" x14ac:dyDescent="0.2">
      <c r="I144" s="38"/>
    </row>
    <row r="145" spans="1:21" ht="15" customHeight="1" x14ac:dyDescent="0.2">
      <c r="D145" s="602">
        <f>D135/D134</f>
        <v>1.8444675324675315</v>
      </c>
      <c r="E145" s="603">
        <f>D138/D135</f>
        <v>2.0630597645468387</v>
      </c>
    </row>
    <row r="146" spans="1:21" ht="15" customHeight="1" x14ac:dyDescent="0.2"/>
    <row r="147" spans="1:21" ht="15" customHeight="1" x14ac:dyDescent="0.2">
      <c r="I147" s="38"/>
    </row>
    <row r="148" spans="1:21" ht="15" customHeight="1" x14ac:dyDescent="0.2">
      <c r="A148" s="64" t="s">
        <v>75</v>
      </c>
      <c r="B148" s="64" t="s">
        <v>73</v>
      </c>
    </row>
    <row r="149" spans="1:21" ht="15" customHeight="1" x14ac:dyDescent="0.2">
      <c r="A149" s="64"/>
      <c r="B149" s="64"/>
    </row>
    <row r="150" spans="1:21" ht="15" customHeight="1" x14ac:dyDescent="0.2">
      <c r="A150" s="64"/>
      <c r="B150" s="64" t="s">
        <v>76</v>
      </c>
    </row>
    <row r="151" spans="1:21" ht="15" customHeight="1" x14ac:dyDescent="0.2">
      <c r="A151" s="64"/>
      <c r="B151" s="64"/>
      <c r="L151" s="64" t="s">
        <v>580</v>
      </c>
    </row>
    <row r="152" spans="1:21" ht="15" customHeight="1" x14ac:dyDescent="0.2">
      <c r="I152" s="38"/>
      <c r="J152" s="764" t="s">
        <v>521</v>
      </c>
      <c r="K152" s="251"/>
      <c r="L152" s="765"/>
      <c r="U152" s="844" t="s">
        <v>579</v>
      </c>
    </row>
    <row r="153" spans="1:21" ht="15" customHeight="1" x14ac:dyDescent="0.2">
      <c r="G153" s="368"/>
      <c r="H153" s="369" t="s">
        <v>35</v>
      </c>
      <c r="I153" s="38"/>
      <c r="J153" s="727" t="str">
        <f>IF($D$12="15 flsprs","ca% = stiff","ca% = aver")</f>
        <v>ca% = aver</v>
      </c>
      <c r="M153" t="s">
        <v>94</v>
      </c>
      <c r="U153" s="843" t="s">
        <v>578</v>
      </c>
    </row>
    <row r="154" spans="1:21"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1" ht="15" customHeight="1" x14ac:dyDescent="0.2">
      <c r="B155" s="133"/>
      <c r="C155" s="117" t="s">
        <v>32</v>
      </c>
      <c r="D155" s="392" t="s">
        <v>33</v>
      </c>
      <c r="E155" s="392" t="s">
        <v>35</v>
      </c>
      <c r="F155" s="521" t="s">
        <v>395</v>
      </c>
      <c r="G155" s="370" t="s">
        <v>35</v>
      </c>
      <c r="H155" s="371" t="s">
        <v>286</v>
      </c>
      <c r="J155" s="483">
        <v>3514</v>
      </c>
      <c r="K155" s="148" t="s">
        <v>77</v>
      </c>
      <c r="M155" s="102" t="s">
        <v>52</v>
      </c>
      <c r="N155" s="514" t="s">
        <v>382</v>
      </c>
      <c r="U155" s="521" t="s">
        <v>577</v>
      </c>
    </row>
    <row r="156" spans="1:21" ht="15" customHeight="1" x14ac:dyDescent="0.2">
      <c r="B156" s="133" t="s">
        <v>21</v>
      </c>
      <c r="C156" s="407" t="s">
        <v>53</v>
      </c>
      <c r="D156" s="252" t="s">
        <v>392</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1" ht="15" customHeight="1" x14ac:dyDescent="0.2">
      <c r="B157" s="106">
        <v>1</v>
      </c>
      <c r="C157" s="119">
        <f>D157+E157</f>
        <v>29.122732653061206</v>
      </c>
      <c r="D157" s="119">
        <f t="shared" ref="D157:D166" si="15">I134</f>
        <v>27.500632653061206</v>
      </c>
      <c r="E157" s="118">
        <v>1.6221000000000001</v>
      </c>
      <c r="F157" s="152">
        <f>E157/C157</f>
        <v>5.5698756683449306E-2</v>
      </c>
      <c r="G157" s="374">
        <f t="shared" ref="G157:G166" si="16">J30</f>
        <v>1.58</v>
      </c>
      <c r="H157" s="375">
        <f>E157-G157</f>
        <v>4.2100000000000026E-2</v>
      </c>
      <c r="J157" s="402">
        <f t="shared" ref="J157:J166" si="17">C83</f>
        <v>5.5700000000000006E-2</v>
      </c>
      <c r="K157" s="738">
        <f>J157-F157</f>
        <v>1.243316550700313E-6</v>
      </c>
      <c r="M157" s="402">
        <f t="shared" ref="M157:M166" si="18">C157/D157</f>
        <v>1.0589840975829128</v>
      </c>
      <c r="N157" s="143">
        <f>D157*M157</f>
        <v>29.122732653061206</v>
      </c>
      <c r="O157" s="287">
        <f t="shared" ref="O157:O166" si="19">N157-C157</f>
        <v>0</v>
      </c>
      <c r="P157" s="288">
        <f t="shared" ref="P157:P166" si="20">J157/F157</f>
        <v>1.0000223221598601</v>
      </c>
      <c r="Q157" s="740">
        <f t="shared" ref="Q157:Q166" si="21">P157*E157</f>
        <v>1.6221362087755091</v>
      </c>
      <c r="R157" s="267" t="s">
        <v>200</v>
      </c>
      <c r="U157" s="152">
        <f>E157/D157</f>
        <v>5.8984097582912794E-2</v>
      </c>
    </row>
    <row r="158" spans="1:21" ht="15" customHeight="1" x14ac:dyDescent="0.2">
      <c r="B158" s="106">
        <v>2</v>
      </c>
      <c r="C158" s="120">
        <f t="shared" ref="C158:C166" si="22">D158+E158</f>
        <v>55.474426530612192</v>
      </c>
      <c r="D158" s="120">
        <f t="shared" si="15"/>
        <v>50.720326530612191</v>
      </c>
      <c r="E158" s="118">
        <v>4.7541000000000002</v>
      </c>
      <c r="F158" s="153">
        <f t="shared" ref="F158:F166" si="23">E158/C158</f>
        <v>8.5698948097761185E-2</v>
      </c>
      <c r="G158" s="376">
        <f t="shared" si="16"/>
        <v>4.8899999999999997</v>
      </c>
      <c r="H158" s="377">
        <f t="shared" ref="H158:H166" si="24">E158-G158</f>
        <v>-0.13589999999999947</v>
      </c>
      <c r="J158" s="402">
        <f t="shared" si="17"/>
        <v>8.5699999999999998E-2</v>
      </c>
      <c r="K158" s="738">
        <f>J158-F158</f>
        <v>1.0519022388133514E-6</v>
      </c>
      <c r="M158" s="402">
        <f t="shared" si="18"/>
        <v>1.0937316520849028</v>
      </c>
      <c r="N158" s="144">
        <f t="shared" ref="N158:N166" si="25">D158*M158</f>
        <v>55.474426530612192</v>
      </c>
      <c r="O158" s="287">
        <f t="shared" si="19"/>
        <v>0</v>
      </c>
      <c r="P158" s="288">
        <f>J158/F158</f>
        <v>1.0000122743891513</v>
      </c>
      <c r="Q158" s="741">
        <f t="shared" si="21"/>
        <v>4.7541583536734642</v>
      </c>
      <c r="R158" s="267" t="s">
        <v>312</v>
      </c>
      <c r="U158" s="152">
        <f t="shared" ref="U158:U166" si="26">E158/D158</f>
        <v>9.3731652084902667E-2</v>
      </c>
    </row>
    <row r="159" spans="1:21" ht="15" customHeight="1" x14ac:dyDescent="0.2">
      <c r="B159" s="106">
        <v>3</v>
      </c>
      <c r="C159" s="121">
        <f t="shared" si="22"/>
        <v>80.767210204081621</v>
      </c>
      <c r="D159" s="121">
        <f t="shared" si="15"/>
        <v>70.469510204081615</v>
      </c>
      <c r="E159" s="118">
        <v>10.297700000000001</v>
      </c>
      <c r="F159" s="154">
        <f t="shared" si="23"/>
        <v>0.12749852290279551</v>
      </c>
      <c r="G159" s="378">
        <f t="shared" si="16"/>
        <v>10.53</v>
      </c>
      <c r="H159" s="379">
        <f t="shared" si="24"/>
        <v>-0.23229999999999862</v>
      </c>
      <c r="J159" s="402">
        <f t="shared" si="17"/>
        <v>0.1275</v>
      </c>
      <c r="K159" s="738">
        <f t="shared" ref="K159:K166" si="27">J159-F159</f>
        <v>1.4770972044941821E-6</v>
      </c>
      <c r="M159" s="402">
        <f t="shared" si="18"/>
        <v>1.1461298648192331</v>
      </c>
      <c r="N159" s="145">
        <f t="shared" si="25"/>
        <v>80.767210204081621</v>
      </c>
      <c r="O159" s="287">
        <f t="shared" si="19"/>
        <v>0</v>
      </c>
      <c r="P159" s="288">
        <f t="shared" si="20"/>
        <v>1.0000115852103293</v>
      </c>
      <c r="Q159" s="254">
        <f t="shared" si="21"/>
        <v>10.297819301020409</v>
      </c>
      <c r="R159" s="267" t="s">
        <v>143</v>
      </c>
      <c r="U159" s="152">
        <f t="shared" si="26"/>
        <v>0.1461298648192329</v>
      </c>
    </row>
    <row r="160" spans="1:21" ht="15" customHeight="1" x14ac:dyDescent="0.2">
      <c r="B160" s="106">
        <v>4</v>
      </c>
      <c r="C160" s="121">
        <f t="shared" si="22"/>
        <v>105.62842653061227</v>
      </c>
      <c r="D160" s="121">
        <f t="shared" si="15"/>
        <v>88.020326530612266</v>
      </c>
      <c r="E160" s="118">
        <v>17.6081</v>
      </c>
      <c r="F160" s="154">
        <f t="shared" si="23"/>
        <v>0.16669849753841576</v>
      </c>
      <c r="G160" s="378">
        <f t="shared" si="16"/>
        <v>17.59</v>
      </c>
      <c r="H160" s="379">
        <f t="shared" si="24"/>
        <v>1.8100000000000449E-2</v>
      </c>
      <c r="J160" s="402">
        <f t="shared" si="17"/>
        <v>0.16670000000000001</v>
      </c>
      <c r="K160" s="738">
        <f t="shared" si="27"/>
        <v>1.5024615842573752E-6</v>
      </c>
      <c r="M160" s="402">
        <f t="shared" si="18"/>
        <v>1.2000458382062029</v>
      </c>
      <c r="N160" s="145">
        <f t="shared" si="25"/>
        <v>105.62842653061227</v>
      </c>
      <c r="O160" s="287">
        <f t="shared" si="19"/>
        <v>0</v>
      </c>
      <c r="P160" s="288">
        <f t="shared" si="20"/>
        <v>1.0000090130481465</v>
      </c>
      <c r="Q160" s="254">
        <f t="shared" si="21"/>
        <v>17.608258702653067</v>
      </c>
      <c r="R160" s="88" t="s">
        <v>142</v>
      </c>
      <c r="U160" s="152">
        <f t="shared" si="26"/>
        <v>0.20004583820620278</v>
      </c>
    </row>
    <row r="161" spans="1:21" ht="15" customHeight="1" x14ac:dyDescent="0.2">
      <c r="B161" s="106">
        <v>5</v>
      </c>
      <c r="C161" s="120">
        <f t="shared" si="22"/>
        <v>130.57741836734695</v>
      </c>
      <c r="D161" s="120">
        <f t="shared" si="15"/>
        <v>104.64491836734696</v>
      </c>
      <c r="E161" s="118">
        <v>25.932500000000001</v>
      </c>
      <c r="F161" s="153">
        <f t="shared" si="23"/>
        <v>0.19859865759518533</v>
      </c>
      <c r="G161" s="376">
        <f t="shared" si="16"/>
        <v>25.6</v>
      </c>
      <c r="H161" s="377">
        <f t="shared" si="24"/>
        <v>0.33249999999999957</v>
      </c>
      <c r="J161" s="402">
        <f t="shared" si="17"/>
        <v>0.1986</v>
      </c>
      <c r="K161" s="738">
        <f t="shared" si="27"/>
        <v>1.3424048146692957E-6</v>
      </c>
      <c r="M161" s="402">
        <f t="shared" si="18"/>
        <v>1.2478142312555129</v>
      </c>
      <c r="N161" s="144">
        <f t="shared" si="25"/>
        <v>130.57741836734695</v>
      </c>
      <c r="O161" s="287">
        <f t="shared" si="19"/>
        <v>0</v>
      </c>
      <c r="P161" s="288">
        <f t="shared" si="20"/>
        <v>1.0000067593851385</v>
      </c>
      <c r="Q161" s="741">
        <f t="shared" si="21"/>
        <v>25.932675287755107</v>
      </c>
      <c r="U161" s="152">
        <f t="shared" si="26"/>
        <v>0.24781423125551302</v>
      </c>
    </row>
    <row r="162" spans="1:21" ht="15" customHeight="1" x14ac:dyDescent="0.2">
      <c r="B162" s="106">
        <v>10</v>
      </c>
      <c r="C162" s="121">
        <f t="shared" si="22"/>
        <v>210.73227142857155</v>
      </c>
      <c r="D162" s="121">
        <f t="shared" si="15"/>
        <v>169.99857142857155</v>
      </c>
      <c r="E162" s="118">
        <v>40.733699999999999</v>
      </c>
      <c r="F162" s="154">
        <f t="shared" si="23"/>
        <v>0.19329597561808101</v>
      </c>
      <c r="G162" s="378">
        <f t="shared" si="16"/>
        <v>39.6</v>
      </c>
      <c r="H162" s="379">
        <f t="shared" si="24"/>
        <v>1.1336999999999975</v>
      </c>
      <c r="J162" s="402">
        <f t="shared" si="17"/>
        <v>0.1933</v>
      </c>
      <c r="K162" s="738">
        <f t="shared" si="27"/>
        <v>4.0243819189877961E-6</v>
      </c>
      <c r="M162" s="402">
        <f t="shared" si="18"/>
        <v>1.2396120135463322</v>
      </c>
      <c r="N162" s="145">
        <f t="shared" si="25"/>
        <v>210.73227142857155</v>
      </c>
      <c r="O162" s="287">
        <f t="shared" si="19"/>
        <v>0</v>
      </c>
      <c r="P162" s="288">
        <f t="shared" si="20"/>
        <v>1.0000208197915457</v>
      </c>
      <c r="Q162" s="254">
        <f t="shared" si="21"/>
        <v>40.734548067142882</v>
      </c>
      <c r="U162" s="152">
        <f t="shared" si="26"/>
        <v>0.23961201354633213</v>
      </c>
    </row>
    <row r="163" spans="1:21" ht="15" customHeight="1" x14ac:dyDescent="0.2">
      <c r="B163" s="106">
        <v>20</v>
      </c>
      <c r="C163" s="121">
        <f t="shared" si="22"/>
        <v>332.13651428571438</v>
      </c>
      <c r="D163" s="121">
        <f t="shared" si="15"/>
        <v>276.00571428571436</v>
      </c>
      <c r="E163" s="118">
        <v>56.130800000000001</v>
      </c>
      <c r="F163" s="154">
        <f t="shared" si="23"/>
        <v>0.16899918432850927</v>
      </c>
      <c r="G163" s="378">
        <f t="shared" si="16"/>
        <v>53.45</v>
      </c>
      <c r="H163" s="379">
        <f t="shared" si="24"/>
        <v>2.6807999999999979</v>
      </c>
      <c r="J163" s="402">
        <f t="shared" si="17"/>
        <v>0.16899999999999998</v>
      </c>
      <c r="K163" s="738">
        <f t="shared" si="27"/>
        <v>8.1567149071148926E-7</v>
      </c>
      <c r="M163" s="402">
        <f t="shared" si="18"/>
        <v>1.2033682532452745</v>
      </c>
      <c r="N163" s="145">
        <f t="shared" si="25"/>
        <v>332.13651428571438</v>
      </c>
      <c r="O163" s="287">
        <f t="shared" si="19"/>
        <v>0</v>
      </c>
      <c r="P163" s="288">
        <f t="shared" si="20"/>
        <v>1.0000048264818198</v>
      </c>
      <c r="Q163" s="254">
        <f t="shared" si="21"/>
        <v>56.131070914285729</v>
      </c>
      <c r="U163" s="152">
        <f t="shared" si="26"/>
        <v>0.20336825324527438</v>
      </c>
    </row>
    <row r="164" spans="1:21" ht="15" customHeight="1" x14ac:dyDescent="0.2">
      <c r="B164" s="106">
        <v>30</v>
      </c>
      <c r="C164" s="121">
        <f>D164+E164</f>
        <v>441.88222857142853</v>
      </c>
      <c r="D164" s="121">
        <f t="shared" si="15"/>
        <v>373.39142857142855</v>
      </c>
      <c r="E164" s="118">
        <v>68.490799999999993</v>
      </c>
      <c r="F164" s="154">
        <f t="shared" si="23"/>
        <v>0.15499786045124628</v>
      </c>
      <c r="G164" s="378">
        <f t="shared" si="16"/>
        <v>65.08</v>
      </c>
      <c r="H164" s="379">
        <f t="shared" si="24"/>
        <v>3.4107999999999947</v>
      </c>
      <c r="J164" s="402">
        <f t="shared" si="17"/>
        <v>0.155</v>
      </c>
      <c r="K164" s="738">
        <f t="shared" si="27"/>
        <v>2.1395487537212432E-6</v>
      </c>
      <c r="M164" s="402">
        <f t="shared" si="18"/>
        <v>1.1834289562083451</v>
      </c>
      <c r="N164" s="145">
        <f t="shared" si="25"/>
        <v>441.88222857142853</v>
      </c>
      <c r="O164" s="287">
        <f t="shared" si="19"/>
        <v>0</v>
      </c>
      <c r="P164" s="288">
        <f t="shared" si="20"/>
        <v>1.000013803730887</v>
      </c>
      <c r="Q164" s="254">
        <f t="shared" si="21"/>
        <v>68.491745428571434</v>
      </c>
      <c r="U164" s="152">
        <f t="shared" si="26"/>
        <v>0.18342895620834512</v>
      </c>
    </row>
    <row r="165" spans="1:21" ht="15" customHeight="1" x14ac:dyDescent="0.2">
      <c r="B165" s="106">
        <v>40</v>
      </c>
      <c r="C165" s="121">
        <f t="shared" si="22"/>
        <v>538.16251428571422</v>
      </c>
      <c r="D165" s="121">
        <f t="shared" si="15"/>
        <v>461.20571428571418</v>
      </c>
      <c r="E165" s="118">
        <v>76.956800000000001</v>
      </c>
      <c r="F165" s="154">
        <f t="shared" si="23"/>
        <v>0.14299918325255762</v>
      </c>
      <c r="G165" s="378">
        <f t="shared" si="16"/>
        <v>75.42</v>
      </c>
      <c r="H165" s="379">
        <f t="shared" si="24"/>
        <v>1.5367999999999995</v>
      </c>
      <c r="J165" s="402">
        <f t="shared" si="17"/>
        <v>0.14300000000000002</v>
      </c>
      <c r="K165" s="738">
        <f t="shared" si="27"/>
        <v>8.1674744240034514E-7</v>
      </c>
      <c r="M165" s="402">
        <f t="shared" si="18"/>
        <v>1.1668600314703077</v>
      </c>
      <c r="N165" s="145">
        <f t="shared" si="25"/>
        <v>538.16251428571422</v>
      </c>
      <c r="O165" s="287">
        <f t="shared" si="19"/>
        <v>0</v>
      </c>
      <c r="P165" s="288">
        <f t="shared" si="20"/>
        <v>1.000005711553198</v>
      </c>
      <c r="Q165" s="254">
        <f t="shared" si="21"/>
        <v>76.957239542857138</v>
      </c>
      <c r="U165" s="152">
        <f t="shared" si="26"/>
        <v>0.16686003147030767</v>
      </c>
    </row>
    <row r="166" spans="1:21" ht="15" customHeight="1" x14ac:dyDescent="0.2">
      <c r="B166" s="106">
        <v>50</v>
      </c>
      <c r="C166" s="120">
        <f t="shared" si="22"/>
        <v>622.54047142857121</v>
      </c>
      <c r="D166" s="120">
        <f t="shared" si="15"/>
        <v>538.49857142857127</v>
      </c>
      <c r="E166" s="118">
        <v>84.041899999999998</v>
      </c>
      <c r="F166" s="153">
        <f t="shared" si="23"/>
        <v>0.13499829144785611</v>
      </c>
      <c r="G166" s="380">
        <f t="shared" si="16"/>
        <v>84.64</v>
      </c>
      <c r="H166" s="381">
        <f t="shared" si="24"/>
        <v>-0.5981000000000023</v>
      </c>
      <c r="J166" s="403">
        <f t="shared" si="17"/>
        <v>0.13500000000000001</v>
      </c>
      <c r="K166" s="739">
        <f t="shared" si="27"/>
        <v>1.708552143903086E-6</v>
      </c>
      <c r="M166" s="403">
        <f t="shared" si="18"/>
        <v>1.1560670806926134</v>
      </c>
      <c r="N166" s="146">
        <f t="shared" si="25"/>
        <v>622.54047142857121</v>
      </c>
      <c r="O166" s="287">
        <f t="shared" si="19"/>
        <v>0</v>
      </c>
      <c r="P166" s="288">
        <f t="shared" si="20"/>
        <v>1.0000126561019815</v>
      </c>
      <c r="Q166" s="741">
        <f t="shared" si="21"/>
        <v>84.042963642857117</v>
      </c>
      <c r="U166" s="152">
        <f t="shared" si="26"/>
        <v>0.15606708069261363</v>
      </c>
    </row>
    <row r="167" spans="1:21" ht="15" customHeight="1" x14ac:dyDescent="0.2">
      <c r="K167" s="38"/>
    </row>
    <row r="168" spans="1:21" ht="15" customHeight="1" x14ac:dyDescent="0.2">
      <c r="K168" s="38"/>
    </row>
    <row r="169" spans="1:21" ht="15" customHeight="1" x14ac:dyDescent="0.2">
      <c r="A169" s="90" t="s">
        <v>80</v>
      </c>
      <c r="B169" s="64" t="s">
        <v>81</v>
      </c>
      <c r="I169" s="38"/>
    </row>
    <row r="170" spans="1:21" ht="15" customHeight="1" x14ac:dyDescent="0.2">
      <c r="A170" s="90"/>
      <c r="B170" s="28" t="s">
        <v>190</v>
      </c>
      <c r="I170" s="38"/>
      <c r="M170" s="348"/>
    </row>
    <row r="171" spans="1:21" ht="15" customHeight="1" x14ac:dyDescent="0.2">
      <c r="A171" s="90"/>
      <c r="B171" s="28" t="s">
        <v>189</v>
      </c>
      <c r="I171" s="38"/>
      <c r="U171" s="535" t="s">
        <v>384</v>
      </c>
    </row>
    <row r="172" spans="1:21" ht="15" customHeight="1" x14ac:dyDescent="0.2">
      <c r="A172" s="90"/>
      <c r="B172" s="28" t="s">
        <v>188</v>
      </c>
      <c r="I172" s="38"/>
      <c r="U172" s="348" t="s">
        <v>404</v>
      </c>
    </row>
    <row r="173" spans="1:21" ht="15" customHeight="1" x14ac:dyDescent="0.2">
      <c r="A173" s="90"/>
      <c r="B173" s="28" t="s">
        <v>187</v>
      </c>
      <c r="I173" s="38"/>
      <c r="U173" s="535" t="s">
        <v>400</v>
      </c>
    </row>
    <row r="174" spans="1:21" ht="15" customHeight="1" x14ac:dyDescent="0.2">
      <c r="A174" s="90"/>
      <c r="B174" s="28" t="s">
        <v>191</v>
      </c>
      <c r="I174" s="38"/>
      <c r="U174" s="535" t="s">
        <v>401</v>
      </c>
    </row>
    <row r="175" spans="1:21" ht="15" customHeight="1" x14ac:dyDescent="0.2">
      <c r="A175" s="90"/>
      <c r="B175" s="28" t="s">
        <v>192</v>
      </c>
      <c r="I175" s="38"/>
      <c r="U175" s="535" t="s">
        <v>402</v>
      </c>
    </row>
    <row r="176" spans="1:21" ht="15" customHeight="1" x14ac:dyDescent="0.2">
      <c r="B176" s="28" t="s">
        <v>193</v>
      </c>
      <c r="I176" s="38"/>
      <c r="U176" s="536" t="s">
        <v>403</v>
      </c>
    </row>
    <row r="177" spans="2:19" ht="15" customHeight="1" x14ac:dyDescent="0.2">
      <c r="B177" s="28" t="s">
        <v>164</v>
      </c>
      <c r="I177" s="38"/>
      <c r="P177" s="28" t="s">
        <v>420</v>
      </c>
    </row>
    <row r="178" spans="2:19" ht="15" customHeight="1" x14ac:dyDescent="0.2">
      <c r="B178" s="764" t="s">
        <v>522</v>
      </c>
    </row>
    <row r="179" spans="2:19" ht="15" customHeight="1" x14ac:dyDescent="0.2">
      <c r="I179" s="441"/>
      <c r="M179" s="307" t="s">
        <v>152</v>
      </c>
      <c r="P179" s="308" t="s">
        <v>154</v>
      </c>
    </row>
    <row r="180" spans="2:19" ht="15" customHeight="1" x14ac:dyDescent="0.2">
      <c r="I180" s="38"/>
      <c r="P180" s="804" t="s">
        <v>540</v>
      </c>
    </row>
    <row r="181" spans="2:19" ht="15" customHeight="1" x14ac:dyDescent="0.2">
      <c r="C181" s="27"/>
      <c r="F181" s="38"/>
      <c r="G181" s="38"/>
      <c r="H181" s="38"/>
      <c r="I181" s="38"/>
      <c r="J181" s="805" t="s">
        <v>269</v>
      </c>
      <c r="K181" s="214"/>
      <c r="L181" s="214"/>
      <c r="M181" s="117" t="s">
        <v>194</v>
      </c>
      <c r="O181" s="38"/>
      <c r="P181" s="503" t="s">
        <v>374</v>
      </c>
      <c r="Q181" s="38"/>
    </row>
    <row r="182" spans="2:19" ht="15" customHeight="1" x14ac:dyDescent="0.2">
      <c r="B182" s="116"/>
      <c r="C182" s="91" t="s">
        <v>56</v>
      </c>
      <c r="D182" s="91" t="s">
        <v>56</v>
      </c>
      <c r="E182" s="205" t="s">
        <v>56</v>
      </c>
      <c r="F182" s="199" t="s">
        <v>56</v>
      </c>
      <c r="G182" s="199" t="s">
        <v>56</v>
      </c>
      <c r="H182" s="253">
        <f>J155</f>
        <v>3514</v>
      </c>
      <c r="I182" s="117"/>
      <c r="J182" s="309" t="s">
        <v>103</v>
      </c>
      <c r="K182" s="309" t="s">
        <v>104</v>
      </c>
      <c r="L182" s="91" t="s">
        <v>22</v>
      </c>
      <c r="M182" s="117" t="s">
        <v>22</v>
      </c>
      <c r="O182" s="91" t="s">
        <v>34</v>
      </c>
      <c r="P182" s="91" t="s">
        <v>34</v>
      </c>
      <c r="Q182" s="205" t="s">
        <v>34</v>
      </c>
      <c r="R182" s="426" t="s">
        <v>290</v>
      </c>
      <c r="S182" s="427" t="s">
        <v>289</v>
      </c>
    </row>
    <row r="183" spans="2:19" ht="15" customHeight="1" x14ac:dyDescent="0.2">
      <c r="B183" s="116"/>
      <c r="C183" s="95" t="s">
        <v>40</v>
      </c>
      <c r="D183" s="84" t="s">
        <v>41</v>
      </c>
      <c r="E183" s="117" t="s">
        <v>32</v>
      </c>
      <c r="F183" s="104" t="s">
        <v>33</v>
      </c>
      <c r="G183" s="104" t="s">
        <v>35</v>
      </c>
      <c r="H183" s="253" t="s">
        <v>28</v>
      </c>
      <c r="I183" s="309"/>
      <c r="J183" s="309" t="s">
        <v>155</v>
      </c>
      <c r="K183" s="309" t="s">
        <v>162</v>
      </c>
      <c r="L183" s="95" t="s">
        <v>156</v>
      </c>
      <c r="M183" s="117" t="s">
        <v>155</v>
      </c>
      <c r="O183" s="95" t="s">
        <v>155</v>
      </c>
      <c r="P183" s="95" t="s">
        <v>156</v>
      </c>
      <c r="Q183" s="401" t="s">
        <v>41</v>
      </c>
      <c r="R183" s="428" t="s">
        <v>287</v>
      </c>
      <c r="S183" s="429" t="s">
        <v>35</v>
      </c>
    </row>
    <row r="184" spans="2:19" ht="15" customHeight="1" x14ac:dyDescent="0.2">
      <c r="B184" s="116" t="s">
        <v>21</v>
      </c>
      <c r="C184" s="113" t="s">
        <v>158</v>
      </c>
      <c r="D184" s="418" t="s">
        <v>158</v>
      </c>
      <c r="E184" s="113" t="s">
        <v>158</v>
      </c>
      <c r="F184" s="252" t="s">
        <v>396</v>
      </c>
      <c r="G184" s="252" t="s">
        <v>397</v>
      </c>
      <c r="H184" s="312" t="s">
        <v>158</v>
      </c>
      <c r="I184" s="113"/>
      <c r="J184" s="806" t="s">
        <v>161</v>
      </c>
      <c r="K184" s="113" t="s">
        <v>158</v>
      </c>
      <c r="L184" s="807" t="s">
        <v>161</v>
      </c>
      <c r="M184" s="806" t="s">
        <v>161</v>
      </c>
      <c r="O184" s="113" t="s">
        <v>157</v>
      </c>
      <c r="P184" s="418" t="s">
        <v>157</v>
      </c>
      <c r="Q184" s="206" t="s">
        <v>157</v>
      </c>
      <c r="R184" s="430" t="s">
        <v>288</v>
      </c>
      <c r="S184" s="431" t="s">
        <v>316</v>
      </c>
    </row>
    <row r="185" spans="2:19" ht="15" customHeight="1" x14ac:dyDescent="0.2">
      <c r="B185" s="106">
        <v>1</v>
      </c>
      <c r="C185" s="119">
        <f>(D185-J185)</f>
        <v>47.122732653061206</v>
      </c>
      <c r="D185" s="119">
        <f>(F185+G185+M185+L185)</f>
        <v>116.12273265306121</v>
      </c>
      <c r="E185" s="119">
        <f>F185+G185</f>
        <v>29.122732653061206</v>
      </c>
      <c r="F185" s="522">
        <f>D157</f>
        <v>27.500632653061206</v>
      </c>
      <c r="G185" s="526">
        <f t="shared" ref="G185:G194" si="28">E157</f>
        <v>1.6221000000000001</v>
      </c>
      <c r="H185" s="155">
        <f>G185/E185</f>
        <v>5.5698756683449306E-2</v>
      </c>
      <c r="I185" s="119"/>
      <c r="J185" s="694">
        <v>69</v>
      </c>
      <c r="K185" s="690">
        <v>4</v>
      </c>
      <c r="L185" s="507">
        <f>P185</f>
        <v>14</v>
      </c>
      <c r="M185" s="497">
        <v>73</v>
      </c>
      <c r="O185" s="497">
        <v>77.900000000000006</v>
      </c>
      <c r="P185" s="742">
        <v>14</v>
      </c>
      <c r="Q185" s="422">
        <v>121</v>
      </c>
      <c r="R185" s="432">
        <f>D185-Q185</f>
        <v>-4.8772673469387939</v>
      </c>
      <c r="S185" s="433">
        <f t="shared" ref="S185:S194" si="29">G185-J30</f>
        <v>4.2100000000000026E-2</v>
      </c>
    </row>
    <row r="186" spans="2:19" ht="15" customHeight="1" x14ac:dyDescent="0.2">
      <c r="B186" s="106">
        <v>2</v>
      </c>
      <c r="C186" s="120">
        <f t="shared" ref="C186:C193" si="30">(D186-J186)</f>
        <v>73.474426530612192</v>
      </c>
      <c r="D186" s="120">
        <f t="shared" ref="D186:D194" si="31">(F186+G186+M186+L186)</f>
        <v>142.47442653061219</v>
      </c>
      <c r="E186" s="120">
        <f t="shared" ref="E186:E191" si="32">F186+G186</f>
        <v>55.474426530612192</v>
      </c>
      <c r="F186" s="523">
        <f t="shared" ref="F186:F194" si="33">D158</f>
        <v>50.720326530612191</v>
      </c>
      <c r="G186" s="527">
        <f t="shared" si="28"/>
        <v>4.7541000000000002</v>
      </c>
      <c r="H186" s="156">
        <f t="shared" ref="H186:H194" si="34">G186/E186</f>
        <v>8.5698948097761185E-2</v>
      </c>
      <c r="I186" s="120"/>
      <c r="J186" s="695">
        <f>J185</f>
        <v>69</v>
      </c>
      <c r="K186" s="691">
        <v>4</v>
      </c>
      <c r="L186" s="506">
        <f>L185</f>
        <v>14</v>
      </c>
      <c r="M186" s="242">
        <v>73</v>
      </c>
      <c r="O186" s="242">
        <v>77.7</v>
      </c>
      <c r="P186" s="419">
        <v>16.100000000000001</v>
      </c>
      <c r="Q186" s="423">
        <v>147.19999999999999</v>
      </c>
      <c r="R186" s="434">
        <f>D186-Q186</f>
        <v>-4.7255734693877969</v>
      </c>
      <c r="S186" s="435">
        <f t="shared" si="29"/>
        <v>-0.13589999999999947</v>
      </c>
    </row>
    <row r="187" spans="2:19" ht="15" customHeight="1" x14ac:dyDescent="0.2">
      <c r="B187" s="106">
        <v>3</v>
      </c>
      <c r="C187" s="121">
        <f t="shared" si="30"/>
        <v>98.767210204081607</v>
      </c>
      <c r="D187" s="121">
        <f t="shared" si="31"/>
        <v>167.76721020408161</v>
      </c>
      <c r="E187" s="121">
        <f t="shared" si="32"/>
        <v>80.767210204081621</v>
      </c>
      <c r="F187" s="524">
        <f t="shared" si="33"/>
        <v>70.469510204081615</v>
      </c>
      <c r="G187" s="528">
        <f t="shared" si="28"/>
        <v>10.297700000000001</v>
      </c>
      <c r="H187" s="157">
        <f t="shared" si="34"/>
        <v>0.12749852290279551</v>
      </c>
      <c r="I187" s="121"/>
      <c r="J187" s="696">
        <f t="shared" ref="J187:L194" si="35">J186</f>
        <v>69</v>
      </c>
      <c r="K187" s="692">
        <v>4</v>
      </c>
      <c r="L187" s="318">
        <f t="shared" si="35"/>
        <v>14</v>
      </c>
      <c r="M187" s="243">
        <v>73</v>
      </c>
      <c r="O187" s="243">
        <v>77.400000000000006</v>
      </c>
      <c r="P187" s="243">
        <v>16.399999999999999</v>
      </c>
      <c r="Q187" s="424">
        <v>169.8</v>
      </c>
      <c r="R187" s="436">
        <f>D187-Q187</f>
        <v>-2.0327897959184043</v>
      </c>
      <c r="S187" s="437">
        <f t="shared" si="29"/>
        <v>-0.23229999999999862</v>
      </c>
    </row>
    <row r="188" spans="2:19" ht="15" customHeight="1" x14ac:dyDescent="0.2">
      <c r="B188" s="106">
        <v>4</v>
      </c>
      <c r="C188" s="121">
        <f t="shared" si="30"/>
        <v>123.62842653061227</v>
      </c>
      <c r="D188" s="121">
        <f t="shared" si="31"/>
        <v>192.62842653061227</v>
      </c>
      <c r="E188" s="121">
        <f t="shared" si="32"/>
        <v>105.62842653061227</v>
      </c>
      <c r="F188" s="524">
        <f t="shared" si="33"/>
        <v>88.020326530612266</v>
      </c>
      <c r="G188" s="528">
        <f t="shared" si="28"/>
        <v>17.6081</v>
      </c>
      <c r="H188" s="157">
        <f t="shared" si="34"/>
        <v>0.16669849753841576</v>
      </c>
      <c r="I188" s="121"/>
      <c r="J188" s="696">
        <f t="shared" si="35"/>
        <v>69</v>
      </c>
      <c r="K188" s="692">
        <v>4</v>
      </c>
      <c r="L188" s="318">
        <f t="shared" si="35"/>
        <v>14</v>
      </c>
      <c r="M188" s="243">
        <v>73</v>
      </c>
      <c r="O188" s="243">
        <v>77.2</v>
      </c>
      <c r="P188" s="243">
        <v>17.399999999999999</v>
      </c>
      <c r="Q188" s="424">
        <v>188.9</v>
      </c>
      <c r="R188" s="436">
        <f t="shared" ref="R188:R194" si="36">D188-Q188</f>
        <v>3.7284265306122677</v>
      </c>
      <c r="S188" s="437">
        <f t="shared" si="29"/>
        <v>1.8100000000000449E-2</v>
      </c>
    </row>
    <row r="189" spans="2:19" ht="15" customHeight="1" x14ac:dyDescent="0.2">
      <c r="B189" s="106">
        <v>5</v>
      </c>
      <c r="C189" s="120">
        <f t="shared" si="30"/>
        <v>148.57741836734695</v>
      </c>
      <c r="D189" s="120">
        <f t="shared" si="31"/>
        <v>217.57741836734695</v>
      </c>
      <c r="E189" s="120">
        <f t="shared" si="32"/>
        <v>130.57741836734695</v>
      </c>
      <c r="F189" s="523">
        <f t="shared" si="33"/>
        <v>104.64491836734696</v>
      </c>
      <c r="G189" s="527">
        <f t="shared" si="28"/>
        <v>25.932500000000001</v>
      </c>
      <c r="H189" s="156">
        <f t="shared" si="34"/>
        <v>0.19859865759518533</v>
      </c>
      <c r="I189" s="120"/>
      <c r="J189" s="695">
        <f t="shared" si="35"/>
        <v>69</v>
      </c>
      <c r="K189" s="691">
        <v>4</v>
      </c>
      <c r="L189" s="317">
        <f t="shared" si="35"/>
        <v>14</v>
      </c>
      <c r="M189" s="242">
        <v>73</v>
      </c>
      <c r="O189" s="242">
        <v>77.2</v>
      </c>
      <c r="P189" s="242">
        <v>17.100000000000001</v>
      </c>
      <c r="Q189" s="423">
        <v>207.7</v>
      </c>
      <c r="R189" s="434">
        <f t="shared" si="36"/>
        <v>9.8774183673469622</v>
      </c>
      <c r="S189" s="435">
        <f t="shared" si="29"/>
        <v>0.33249999999999957</v>
      </c>
    </row>
    <row r="190" spans="2:19" ht="15" customHeight="1" x14ac:dyDescent="0.2">
      <c r="B190" s="106">
        <v>10</v>
      </c>
      <c r="C190" s="121">
        <f t="shared" si="30"/>
        <v>228.73227142857155</v>
      </c>
      <c r="D190" s="121">
        <f t="shared" si="31"/>
        <v>297.73227142857155</v>
      </c>
      <c r="E190" s="121">
        <f t="shared" si="32"/>
        <v>210.73227142857155</v>
      </c>
      <c r="F190" s="524">
        <f t="shared" si="33"/>
        <v>169.99857142857155</v>
      </c>
      <c r="G190" s="528">
        <f t="shared" si="28"/>
        <v>40.733699999999999</v>
      </c>
      <c r="H190" s="157">
        <f t="shared" si="34"/>
        <v>0.19329597561808101</v>
      </c>
      <c r="I190" s="121"/>
      <c r="J190" s="696">
        <f t="shared" si="35"/>
        <v>69</v>
      </c>
      <c r="K190" s="692">
        <v>4</v>
      </c>
      <c r="L190" s="318">
        <f t="shared" si="35"/>
        <v>14</v>
      </c>
      <c r="M190" s="243">
        <v>73</v>
      </c>
      <c r="O190" s="243">
        <v>77.400000000000006</v>
      </c>
      <c r="P190" s="243">
        <v>15.2</v>
      </c>
      <c r="Q190" s="424">
        <v>287</v>
      </c>
      <c r="R190" s="436">
        <f t="shared" si="36"/>
        <v>10.732271428571551</v>
      </c>
      <c r="S190" s="437">
        <f t="shared" si="29"/>
        <v>1.1336999999999975</v>
      </c>
    </row>
    <row r="191" spans="2:19" ht="15" customHeight="1" x14ac:dyDescent="0.2">
      <c r="B191" s="106">
        <v>20</v>
      </c>
      <c r="C191" s="121">
        <f t="shared" si="30"/>
        <v>350.13651428571438</v>
      </c>
      <c r="D191" s="121">
        <f t="shared" si="31"/>
        <v>419.13651428571438</v>
      </c>
      <c r="E191" s="121">
        <f t="shared" si="32"/>
        <v>332.13651428571438</v>
      </c>
      <c r="F191" s="524">
        <f t="shared" si="33"/>
        <v>276.00571428571436</v>
      </c>
      <c r="G191" s="528">
        <f t="shared" si="28"/>
        <v>56.130800000000001</v>
      </c>
      <c r="H191" s="157">
        <f t="shared" si="34"/>
        <v>0.16899918432850927</v>
      </c>
      <c r="I191" s="121"/>
      <c r="J191" s="696">
        <f t="shared" si="35"/>
        <v>69</v>
      </c>
      <c r="K191" s="692">
        <v>4</v>
      </c>
      <c r="L191" s="318">
        <f t="shared" si="35"/>
        <v>14</v>
      </c>
      <c r="M191" s="243">
        <v>73</v>
      </c>
      <c r="O191" s="243">
        <v>77.400000000000006</v>
      </c>
      <c r="P191" s="243">
        <v>13.2</v>
      </c>
      <c r="Q191" s="424">
        <v>414.3</v>
      </c>
      <c r="R191" s="436">
        <f t="shared" si="36"/>
        <v>4.8365142857143724</v>
      </c>
      <c r="S191" s="437">
        <f t="shared" si="29"/>
        <v>2.6807999999999979</v>
      </c>
    </row>
    <row r="192" spans="2:19" ht="15" customHeight="1" x14ac:dyDescent="0.2">
      <c r="B192" s="106">
        <v>30</v>
      </c>
      <c r="C192" s="121">
        <f t="shared" si="30"/>
        <v>459.88222857142853</v>
      </c>
      <c r="D192" s="121">
        <f t="shared" si="31"/>
        <v>528.88222857142853</v>
      </c>
      <c r="E192" s="121">
        <f>F192+G192</f>
        <v>441.88222857142853</v>
      </c>
      <c r="F192" s="524">
        <f t="shared" si="33"/>
        <v>373.39142857142855</v>
      </c>
      <c r="G192" s="528">
        <f t="shared" si="28"/>
        <v>68.490799999999993</v>
      </c>
      <c r="H192" s="157">
        <f t="shared" si="34"/>
        <v>0.15499786045124628</v>
      </c>
      <c r="I192" s="121"/>
      <c r="J192" s="696">
        <f t="shared" si="35"/>
        <v>69</v>
      </c>
      <c r="K192" s="692">
        <v>4</v>
      </c>
      <c r="L192" s="318">
        <f t="shared" si="35"/>
        <v>14</v>
      </c>
      <c r="M192" s="243">
        <v>73</v>
      </c>
      <c r="O192" s="243">
        <v>77.900000000000006</v>
      </c>
      <c r="P192" s="243">
        <v>11.9</v>
      </c>
      <c r="Q192" s="424">
        <v>524.9</v>
      </c>
      <c r="R192" s="436">
        <f t="shared" si="36"/>
        <v>3.9822285714285499</v>
      </c>
      <c r="S192" s="437">
        <f t="shared" si="29"/>
        <v>3.4107999999999947</v>
      </c>
    </row>
    <row r="193" spans="1:19" ht="15" customHeight="1" x14ac:dyDescent="0.2">
      <c r="B193" s="106">
        <v>40</v>
      </c>
      <c r="C193" s="121">
        <f t="shared" si="30"/>
        <v>557.16251428571422</v>
      </c>
      <c r="D193" s="121">
        <f t="shared" si="31"/>
        <v>626.16251428571422</v>
      </c>
      <c r="E193" s="121">
        <f t="shared" ref="E193:E194" si="37">F193+G193</f>
        <v>538.16251428571422</v>
      </c>
      <c r="F193" s="524">
        <f t="shared" si="33"/>
        <v>461.20571428571418</v>
      </c>
      <c r="G193" s="528">
        <f t="shared" si="28"/>
        <v>76.956800000000001</v>
      </c>
      <c r="H193" s="157">
        <f t="shared" si="34"/>
        <v>0.14299918325255762</v>
      </c>
      <c r="I193" s="121"/>
      <c r="J193" s="696">
        <f t="shared" si="35"/>
        <v>69</v>
      </c>
      <c r="K193" s="692">
        <v>4</v>
      </c>
      <c r="L193" s="318">
        <f t="shared" si="35"/>
        <v>14</v>
      </c>
      <c r="M193" s="243">
        <v>74</v>
      </c>
      <c r="O193" s="243">
        <v>78.3</v>
      </c>
      <c r="P193" s="243">
        <v>10.8</v>
      </c>
      <c r="Q193" s="424">
        <v>628.9</v>
      </c>
      <c r="R193" s="436">
        <f t="shared" si="36"/>
        <v>-2.7374857142857536</v>
      </c>
      <c r="S193" s="437">
        <f t="shared" si="29"/>
        <v>1.5367999999999995</v>
      </c>
    </row>
    <row r="194" spans="1:19" ht="15" customHeight="1" x14ac:dyDescent="0.2">
      <c r="B194" s="106">
        <v>50</v>
      </c>
      <c r="C194" s="120">
        <f>(D194-J194)</f>
        <v>642.54047142857121</v>
      </c>
      <c r="D194" s="120">
        <f t="shared" si="31"/>
        <v>711.54047142857121</v>
      </c>
      <c r="E194" s="120">
        <f t="shared" si="37"/>
        <v>622.54047142857121</v>
      </c>
      <c r="F194" s="525">
        <f t="shared" si="33"/>
        <v>538.49857142857127</v>
      </c>
      <c r="G194" s="529">
        <f t="shared" si="28"/>
        <v>84.041899999999998</v>
      </c>
      <c r="H194" s="156">
        <f t="shared" si="34"/>
        <v>0.13499829144785611</v>
      </c>
      <c r="I194" s="120"/>
      <c r="J194" s="697">
        <f t="shared" si="35"/>
        <v>69</v>
      </c>
      <c r="K194" s="693">
        <v>4</v>
      </c>
      <c r="L194" s="553">
        <f t="shared" si="35"/>
        <v>14</v>
      </c>
      <c r="M194" s="554">
        <v>75</v>
      </c>
      <c r="O194" s="554">
        <v>79.5</v>
      </c>
      <c r="P194" s="242">
        <v>11.9</v>
      </c>
      <c r="Q194" s="423">
        <v>718.8</v>
      </c>
      <c r="R194" s="438">
        <f t="shared" si="36"/>
        <v>-7.2595285714287456</v>
      </c>
      <c r="S194" s="439">
        <f t="shared" si="29"/>
        <v>-0.5981000000000023</v>
      </c>
    </row>
    <row r="195" spans="1:19" ht="15" customHeight="1" x14ac:dyDescent="0.2">
      <c r="B195" s="535"/>
      <c r="I195" s="38"/>
    </row>
    <row r="196" spans="1:19" ht="15" customHeight="1" x14ac:dyDescent="0.2">
      <c r="I196" s="38"/>
    </row>
    <row r="197" spans="1:19" x14ac:dyDescent="0.2">
      <c r="A197" s="90" t="s">
        <v>82</v>
      </c>
      <c r="B197" s="64" t="s">
        <v>83</v>
      </c>
      <c r="I197" s="38"/>
    </row>
    <row r="198" spans="1:19" ht="15" customHeight="1" x14ac:dyDescent="0.2">
      <c r="B198" s="808" t="s">
        <v>523</v>
      </c>
    </row>
    <row r="199" spans="1:19" ht="15" customHeight="1" x14ac:dyDescent="0.2">
      <c r="B199" s="808" t="s">
        <v>524</v>
      </c>
      <c r="C199" s="40"/>
      <c r="I199" s="38"/>
    </row>
    <row r="200" spans="1:19" ht="15" customHeight="1" x14ac:dyDescent="0.2">
      <c r="B200" s="90" t="s">
        <v>91</v>
      </c>
      <c r="C200" s="40"/>
      <c r="D200" s="40"/>
      <c r="E200" s="40"/>
      <c r="F200" s="40"/>
      <c r="G200" s="40"/>
      <c r="H200" s="348"/>
      <c r="I200" s="40"/>
      <c r="J200" s="40"/>
      <c r="K200" s="40"/>
      <c r="L200" s="40"/>
      <c r="O200" s="505" t="s">
        <v>377</v>
      </c>
      <c r="Q200" s="28" t="s">
        <v>168</v>
      </c>
    </row>
    <row r="201" spans="1:19" ht="15" customHeight="1" x14ac:dyDescent="0.2">
      <c r="B201" s="64" t="s">
        <v>92</v>
      </c>
      <c r="C201" s="40"/>
      <c r="D201" s="40"/>
      <c r="E201" s="40"/>
      <c r="F201" s="306" t="s">
        <v>153</v>
      </c>
      <c r="G201" s="40"/>
      <c r="H201" s="40"/>
      <c r="I201" s="28" t="s">
        <v>24</v>
      </c>
      <c r="J201" s="40"/>
      <c r="K201" s="40"/>
      <c r="Q201" s="28" t="s">
        <v>169</v>
      </c>
    </row>
    <row r="202" spans="1:19" ht="15" customHeight="1" x14ac:dyDescent="0.2">
      <c r="B202" s="90" t="s">
        <v>93</v>
      </c>
      <c r="D202" s="56"/>
      <c r="H202" s="31" t="s">
        <v>11</v>
      </c>
      <c r="I202" s="32"/>
      <c r="J202" s="32"/>
      <c r="K202" s="33"/>
      <c r="L202" s="31" t="s">
        <v>16</v>
      </c>
      <c r="M202" s="32"/>
      <c r="N202" s="33"/>
      <c r="O202" s="84"/>
      <c r="P202" s="91" t="s">
        <v>56</v>
      </c>
      <c r="Q202" t="s">
        <v>117</v>
      </c>
    </row>
    <row r="203" spans="1:19"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19"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19" ht="15" customHeight="1" x14ac:dyDescent="0.2">
      <c r="A205" s="249">
        <v>1.318727877981887</v>
      </c>
      <c r="B205" s="259" t="s">
        <v>6</v>
      </c>
      <c r="C205" s="12" t="s">
        <v>9</v>
      </c>
      <c r="D205" s="260">
        <v>2.52</v>
      </c>
      <c r="E205" s="255">
        <v>1</v>
      </c>
      <c r="F205" s="249">
        <v>1.2998721885166151</v>
      </c>
      <c r="G205" s="122">
        <v>1.2943552241330472</v>
      </c>
      <c r="H205" s="34">
        <f>(D206*2.20462*25.4*12)</f>
        <v>2822.2663391999999</v>
      </c>
      <c r="I205" s="5">
        <f>F205*D$205*SQRT(4*D$207*H$205/32.2)/12</f>
        <v>47.122732653061206</v>
      </c>
      <c r="J205" s="1"/>
      <c r="K205" s="22"/>
      <c r="L205" s="96">
        <v>1</v>
      </c>
      <c r="M205" s="92">
        <f>L205*I205</f>
        <v>47.122732653061206</v>
      </c>
      <c r="N205" s="13"/>
      <c r="O205" s="84">
        <v>1</v>
      </c>
      <c r="P205" s="92">
        <f>C185</f>
        <v>47.122732653061206</v>
      </c>
      <c r="Q205" s="254">
        <f>P205/M205</f>
        <v>1</v>
      </c>
      <c r="R205" s="254">
        <f>G205*Q205</f>
        <v>1.2943552241330472</v>
      </c>
      <c r="S205" s="267" t="s">
        <v>138</v>
      </c>
    </row>
    <row r="206" spans="1:19" ht="15" customHeight="1" x14ac:dyDescent="0.2">
      <c r="A206" s="250">
        <v>0.99768586877996679</v>
      </c>
      <c r="B206" s="259" t="s">
        <v>7</v>
      </c>
      <c r="C206" s="12" t="s">
        <v>10</v>
      </c>
      <c r="D206" s="444">
        <v>4.2</v>
      </c>
      <c r="E206" s="255">
        <v>2</v>
      </c>
      <c r="F206" s="250">
        <v>1.0133894856811296</v>
      </c>
      <c r="G206" s="123">
        <v>1.010631003489346</v>
      </c>
      <c r="H206" s="35"/>
      <c r="I206" s="5">
        <f t="shared" ref="I206:I214" si="38">F206*D$205*SQRT(4*D$207*H$205/32.2)/12</f>
        <v>36.737213265306103</v>
      </c>
      <c r="J206" s="1"/>
      <c r="K206" s="22"/>
      <c r="L206" s="97">
        <v>2</v>
      </c>
      <c r="M206" s="93">
        <f>L206*I206</f>
        <v>73.474426530612206</v>
      </c>
      <c r="N206" s="13"/>
      <c r="O206" s="84">
        <v>2</v>
      </c>
      <c r="P206" s="93">
        <f t="shared" ref="P206:P214" si="39">C186</f>
        <v>73.474426530612192</v>
      </c>
      <c r="Q206" s="254">
        <f t="shared" ref="Q206:Q214" si="40">P206/M206</f>
        <v>0.99999999999999978</v>
      </c>
      <c r="R206" s="254">
        <f t="shared" ref="R206:R214" si="41">G206*Q206</f>
        <v>1.0106310034893458</v>
      </c>
      <c r="S206" s="267" t="s">
        <v>139</v>
      </c>
    </row>
    <row r="207" spans="1:19" ht="15" customHeight="1" x14ac:dyDescent="0.2">
      <c r="A207" s="249">
        <v>0.86436776766957812</v>
      </c>
      <c r="B207" s="261" t="s">
        <v>8</v>
      </c>
      <c r="C207" s="262" t="s">
        <v>15</v>
      </c>
      <c r="D207" s="263">
        <v>85</v>
      </c>
      <c r="E207" s="255">
        <v>3</v>
      </c>
      <c r="F207" s="249">
        <v>0.90815863493377658</v>
      </c>
      <c r="G207" s="122">
        <v>0.90631964680592114</v>
      </c>
      <c r="H207" s="35"/>
      <c r="I207" s="5">
        <f t="shared" si="38"/>
        <v>32.922403401360533</v>
      </c>
      <c r="J207" s="1"/>
      <c r="K207" s="22"/>
      <c r="L207" s="98">
        <v>3</v>
      </c>
      <c r="M207" s="94">
        <f t="shared" ref="M207:M213" si="42">L207*I207</f>
        <v>98.767210204081607</v>
      </c>
      <c r="N207" s="13"/>
      <c r="O207" s="84">
        <v>3</v>
      </c>
      <c r="P207" s="94">
        <f t="shared" si="39"/>
        <v>98.767210204081607</v>
      </c>
      <c r="Q207" s="254">
        <f t="shared" si="40"/>
        <v>1</v>
      </c>
      <c r="R207" s="254">
        <f t="shared" si="41"/>
        <v>0.90631964680592114</v>
      </c>
    </row>
    <row r="208" spans="1:19" ht="15" customHeight="1" x14ac:dyDescent="0.2">
      <c r="A208" s="249">
        <v>0.78735948303413783</v>
      </c>
      <c r="E208" s="30">
        <v>4</v>
      </c>
      <c r="F208" s="249">
        <v>0.85256703245738563</v>
      </c>
      <c r="G208" s="122">
        <v>0.85118779136149381</v>
      </c>
      <c r="H208" s="35"/>
      <c r="I208" s="5">
        <f t="shared" si="38"/>
        <v>30.907106632653068</v>
      </c>
      <c r="J208" s="1"/>
      <c r="K208" s="22"/>
      <c r="L208" s="98">
        <v>4</v>
      </c>
      <c r="M208" s="94">
        <f t="shared" si="42"/>
        <v>123.62842653061227</v>
      </c>
      <c r="N208" s="13"/>
      <c r="O208" s="84">
        <v>4</v>
      </c>
      <c r="P208" s="94">
        <f t="shared" si="39"/>
        <v>123.62842653061227</v>
      </c>
      <c r="Q208" s="254">
        <f t="shared" si="40"/>
        <v>1</v>
      </c>
      <c r="R208" s="254">
        <f t="shared" si="41"/>
        <v>0.85118779136149381</v>
      </c>
    </row>
    <row r="209" spans="1:19" ht="15" customHeight="1" x14ac:dyDescent="0.2">
      <c r="A209" s="250">
        <v>0.73922515099416275</v>
      </c>
      <c r="B209" s="809" t="s">
        <v>411</v>
      </c>
      <c r="E209" s="30">
        <v>5</v>
      </c>
      <c r="F209" s="250">
        <v>0.81969632533509573</v>
      </c>
      <c r="G209" s="123">
        <v>0.81859293245838238</v>
      </c>
      <c r="H209" s="35"/>
      <c r="I209" s="5">
        <f t="shared" si="38"/>
        <v>29.715483673469389</v>
      </c>
      <c r="J209" s="1"/>
      <c r="K209" s="22"/>
      <c r="L209" s="97">
        <v>5</v>
      </c>
      <c r="M209" s="93">
        <f t="shared" si="42"/>
        <v>148.57741836734695</v>
      </c>
      <c r="N209" s="13"/>
      <c r="O209" s="84">
        <v>5</v>
      </c>
      <c r="P209" s="93">
        <f t="shared" si="39"/>
        <v>148.57741836734695</v>
      </c>
      <c r="Q209" s="254">
        <f t="shared" si="40"/>
        <v>1</v>
      </c>
      <c r="R209" s="254">
        <f t="shared" si="41"/>
        <v>0.81859293245838238</v>
      </c>
    </row>
    <row r="210" spans="1:19" ht="15" customHeight="1" x14ac:dyDescent="0.2">
      <c r="A210" s="249">
        <v>0.58289093125700386</v>
      </c>
      <c r="B210" s="810" t="s">
        <v>412</v>
      </c>
      <c r="E210" s="30">
        <v>10</v>
      </c>
      <c r="F210" s="249">
        <v>0.63095389742198871</v>
      </c>
      <c r="G210" s="122">
        <v>0.63040220098363187</v>
      </c>
      <c r="H210" s="35"/>
      <c r="I210" s="5">
        <f t="shared" si="38"/>
        <v>22.873227142857157</v>
      </c>
      <c r="J210" s="1"/>
      <c r="K210" s="22"/>
      <c r="L210" s="98">
        <v>10</v>
      </c>
      <c r="M210" s="94">
        <f t="shared" si="42"/>
        <v>228.73227142857158</v>
      </c>
      <c r="N210" s="13"/>
      <c r="O210" s="84">
        <v>10</v>
      </c>
      <c r="P210" s="94">
        <f t="shared" si="39"/>
        <v>228.73227142857155</v>
      </c>
      <c r="Q210" s="254">
        <f t="shared" si="40"/>
        <v>0.99999999999999989</v>
      </c>
      <c r="R210" s="254">
        <f t="shared" si="41"/>
        <v>0.63040220098363176</v>
      </c>
    </row>
    <row r="211" spans="1:19" ht="15" customHeight="1" x14ac:dyDescent="0.2">
      <c r="A211" s="249">
        <v>0.46389907308779216</v>
      </c>
      <c r="E211" s="30">
        <v>20</v>
      </c>
      <c r="F211" s="249">
        <v>0.48292266967521058</v>
      </c>
      <c r="G211" s="122">
        <v>0.4826468214560321</v>
      </c>
      <c r="H211" s="35"/>
      <c r="I211" s="5">
        <f t="shared" si="38"/>
        <v>17.506825714285721</v>
      </c>
      <c r="J211" s="1"/>
      <c r="K211" s="22"/>
      <c r="L211" s="98">
        <v>20</v>
      </c>
      <c r="M211" s="94">
        <f t="shared" si="42"/>
        <v>350.13651428571444</v>
      </c>
      <c r="N211" s="13"/>
      <c r="O211" s="84">
        <v>20</v>
      </c>
      <c r="P211" s="94">
        <f t="shared" si="39"/>
        <v>350.13651428571438</v>
      </c>
      <c r="Q211" s="254">
        <f t="shared" si="40"/>
        <v>0.99999999999999989</v>
      </c>
      <c r="R211" s="254">
        <f t="shared" si="41"/>
        <v>0.48264682145603205</v>
      </c>
    </row>
    <row r="212" spans="1:19" ht="15" customHeight="1" x14ac:dyDescent="0.2">
      <c r="A212" s="249">
        <v>0.41274932594331287</v>
      </c>
      <c r="B212" s="251" t="s">
        <v>527</v>
      </c>
      <c r="E212" s="30">
        <v>30</v>
      </c>
      <c r="F212" s="249">
        <v>0.42285897927738797</v>
      </c>
      <c r="G212" s="122">
        <v>0.42267508046460239</v>
      </c>
      <c r="H212" s="35"/>
      <c r="I212" s="5">
        <f t="shared" si="38"/>
        <v>15.329407619047617</v>
      </c>
      <c r="J212" s="1"/>
      <c r="K212" s="22"/>
      <c r="L212" s="98">
        <v>30</v>
      </c>
      <c r="M212" s="94">
        <f>L212*I212</f>
        <v>459.88222857142847</v>
      </c>
      <c r="N212" s="13"/>
      <c r="O212" s="84">
        <v>30</v>
      </c>
      <c r="P212" s="94">
        <f t="shared" si="39"/>
        <v>459.88222857142853</v>
      </c>
      <c r="Q212" s="254">
        <f t="shared" si="40"/>
        <v>1.0000000000000002</v>
      </c>
      <c r="R212" s="254">
        <f t="shared" si="41"/>
        <v>0.4226750804646025</v>
      </c>
    </row>
    <row r="213" spans="1:19" ht="15" customHeight="1" x14ac:dyDescent="0.2">
      <c r="A213" s="249">
        <v>0.37943109730707253</v>
      </c>
      <c r="B213" s="251" t="s">
        <v>528</v>
      </c>
      <c r="E213" s="30">
        <v>40</v>
      </c>
      <c r="F213" s="249">
        <v>0.38423071839666695</v>
      </c>
      <c r="G213" s="122">
        <v>0.3840927942870776</v>
      </c>
      <c r="H213" s="35"/>
      <c r="I213" s="5">
        <f t="shared" si="38"/>
        <v>13.929062857142858</v>
      </c>
      <c r="J213" s="1"/>
      <c r="K213" s="22"/>
      <c r="L213" s="98">
        <v>40</v>
      </c>
      <c r="M213" s="94">
        <f t="shared" si="42"/>
        <v>557.16251428571434</v>
      </c>
      <c r="N213" s="13"/>
      <c r="O213" s="84">
        <v>40</v>
      </c>
      <c r="P213" s="126">
        <f t="shared" si="39"/>
        <v>557.16251428571422</v>
      </c>
      <c r="Q213" s="254">
        <f t="shared" si="40"/>
        <v>0.99999999999999978</v>
      </c>
      <c r="R213" s="254">
        <f t="shared" si="41"/>
        <v>0.38409279428707749</v>
      </c>
    </row>
    <row r="214" spans="1:19" ht="15" customHeight="1" x14ac:dyDescent="0.2">
      <c r="A214" s="250">
        <v>0.3532940253607032</v>
      </c>
      <c r="B214" s="500" t="s">
        <v>529</v>
      </c>
      <c r="E214" s="30">
        <v>50</v>
      </c>
      <c r="F214" s="250">
        <v>0.35448728958722497</v>
      </c>
      <c r="G214" s="123">
        <v>0.35437695029955357</v>
      </c>
      <c r="H214" s="36"/>
      <c r="I214" s="23">
        <f t="shared" si="38"/>
        <v>12.850809428571424</v>
      </c>
      <c r="J214" s="24"/>
      <c r="K214" s="17"/>
      <c r="L214" s="99">
        <v>50</v>
      </c>
      <c r="M214" s="100">
        <f>L214*I214</f>
        <v>642.54047142857121</v>
      </c>
      <c r="N214" s="16"/>
      <c r="O214" s="107">
        <v>50</v>
      </c>
      <c r="P214" s="127">
        <f t="shared" si="39"/>
        <v>642.54047142857121</v>
      </c>
      <c r="Q214" s="254">
        <f t="shared" si="40"/>
        <v>1</v>
      </c>
      <c r="R214" s="254">
        <f t="shared" si="41"/>
        <v>0.35437695029955357</v>
      </c>
    </row>
    <row r="215" spans="1:19" ht="15" customHeight="1" x14ac:dyDescent="0.2">
      <c r="B215" s="251" t="s">
        <v>72</v>
      </c>
      <c r="E215" s="2"/>
      <c r="F215" s="160"/>
      <c r="G215" s="160"/>
      <c r="H215" s="40"/>
      <c r="I215" s="161"/>
      <c r="J215" s="40"/>
      <c r="K215" s="40"/>
      <c r="L215" s="162"/>
      <c r="M215" s="162"/>
      <c r="N215" s="66"/>
      <c r="O215" s="163"/>
      <c r="P215" s="162"/>
    </row>
    <row r="216" spans="1:19" ht="15" customHeight="1" x14ac:dyDescent="0.2">
      <c r="N216" s="322" t="s">
        <v>167</v>
      </c>
      <c r="P216" s="162"/>
    </row>
    <row r="217" spans="1:19" ht="15" customHeight="1" x14ac:dyDescent="0.2">
      <c r="P217" s="41"/>
    </row>
    <row r="218" spans="1:19" ht="15" customHeight="1" x14ac:dyDescent="0.2">
      <c r="A218" s="90" t="s">
        <v>85</v>
      </c>
      <c r="B218" s="64" t="s">
        <v>86</v>
      </c>
    </row>
    <row r="219" spans="1:19" ht="15" customHeight="1" x14ac:dyDescent="0.2">
      <c r="B219" s="64" t="s">
        <v>372</v>
      </c>
    </row>
    <row r="220" spans="1:19" ht="15" customHeight="1" x14ac:dyDescent="0.2">
      <c r="B220" s="348"/>
    </row>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f>J155</f>
        <v>3514</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3">D206</f>
        <v>4.2</v>
      </c>
      <c r="C227" s="1" t="s">
        <v>0</v>
      </c>
      <c r="D227" s="22"/>
      <c r="E227" s="71">
        <v>1</v>
      </c>
      <c r="F227" s="55">
        <f>F185</f>
        <v>27.500632653061206</v>
      </c>
      <c r="G227" s="46">
        <f>F227/E227</f>
        <v>27.500632653061206</v>
      </c>
      <c r="H227" s="178">
        <f t="shared" ref="H227:H236" si="44">SQRT(12*32.2*G227^2/(4*$B$228*($B$227*56)*$B$226^2))</f>
        <v>0.75858209158435086</v>
      </c>
      <c r="I227" s="718"/>
      <c r="J227" s="178">
        <v>0.75858209158435086</v>
      </c>
      <c r="K227" s="544">
        <v>1</v>
      </c>
      <c r="L227" s="549">
        <f>J227*$L$225</f>
        <v>0.75858209158435086</v>
      </c>
      <c r="M227" s="5">
        <f>(B227*2.20462*25.4*12)</f>
        <v>2822.2663391999999</v>
      </c>
      <c r="N227" s="74">
        <f t="shared" ref="N227:N236" si="45">L227*B$226*SQRT(4*B$228*M$227/32.2)/12</f>
        <v>27.499981469656959</v>
      </c>
      <c r="O227" s="597">
        <f>K227*N227</f>
        <v>27.499981469656959</v>
      </c>
      <c r="P227" s="591">
        <f t="shared" ref="P227:P236" si="46">M157</f>
        <v>1.0589840975829128</v>
      </c>
      <c r="Q227" s="60">
        <f>P227*O227</f>
        <v>29.122043060191498</v>
      </c>
      <c r="R227" s="166">
        <f>Q227-O227</f>
        <v>1.622061590534539</v>
      </c>
      <c r="S227" s="169">
        <f>R227/Q227</f>
        <v>5.5698756683449285E-2</v>
      </c>
    </row>
    <row r="228" spans="2:19" ht="15" customHeight="1" x14ac:dyDescent="0.2">
      <c r="B228" s="271">
        <f t="shared" si="43"/>
        <v>85</v>
      </c>
      <c r="C228" s="77" t="s">
        <v>1</v>
      </c>
      <c r="D228" s="17"/>
      <c r="E228" s="70">
        <v>2</v>
      </c>
      <c r="F228" s="54">
        <f t="shared" ref="F228:F236" si="47">F186</f>
        <v>50.720326530612191</v>
      </c>
      <c r="G228" s="45">
        <f t="shared" ref="G228:G236" si="48">F228/E228</f>
        <v>25.360163265306095</v>
      </c>
      <c r="H228" s="179">
        <f t="shared" si="44"/>
        <v>0.69953902280772029</v>
      </c>
      <c r="I228" s="718"/>
      <c r="J228" s="179">
        <v>0.69953902280772029</v>
      </c>
      <c r="K228" s="545">
        <v>2</v>
      </c>
      <c r="L228" s="550">
        <f t="shared" ref="L228:L236" si="49">J228*$L$225</f>
        <v>0.69953902280772029</v>
      </c>
      <c r="N228" s="73">
        <f t="shared" si="45"/>
        <v>25.359562765759208</v>
      </c>
      <c r="O228" s="598">
        <f t="shared" ref="O228:O235" si="50">K228*N228</f>
        <v>50.719125531518415</v>
      </c>
      <c r="P228" s="591">
        <f t="shared" si="46"/>
        <v>1.0937316520849028</v>
      </c>
      <c r="Q228" s="59">
        <f t="shared" ref="Q228:Q236" si="51">P228*O228</f>
        <v>55.473112959889207</v>
      </c>
      <c r="R228" s="167">
        <f t="shared" ref="R228:R236" si="52">Q228-O228</f>
        <v>4.7539874283707917</v>
      </c>
      <c r="S228" s="170">
        <f t="shared" ref="S228:S236" si="53">R228/Q228</f>
        <v>8.5698948097761241E-2</v>
      </c>
    </row>
    <row r="229" spans="2:19" ht="15" customHeight="1" x14ac:dyDescent="0.2">
      <c r="E229" s="69">
        <v>3</v>
      </c>
      <c r="F229" s="50">
        <f t="shared" si="47"/>
        <v>70.469510204081615</v>
      </c>
      <c r="G229" s="44">
        <f t="shared" si="48"/>
        <v>23.489836734693871</v>
      </c>
      <c r="H229" s="180">
        <f t="shared" si="44"/>
        <v>0.64794762018667573</v>
      </c>
      <c r="I229" s="718"/>
      <c r="J229" s="180">
        <v>0.64794762018667573</v>
      </c>
      <c r="K229" s="546">
        <v>3</v>
      </c>
      <c r="L229" s="551">
        <f t="shared" si="49"/>
        <v>0.64794762018667573</v>
      </c>
      <c r="N229" s="72">
        <f t="shared" si="45"/>
        <v>23.489280522331669</v>
      </c>
      <c r="O229" s="599">
        <f>K229*N229</f>
        <v>70.467841566995006</v>
      </c>
      <c r="P229" s="591">
        <f t="shared" si="46"/>
        <v>1.1461298648192331</v>
      </c>
      <c r="Q229" s="58">
        <f t="shared" si="51"/>
        <v>80.76529772928312</v>
      </c>
      <c r="R229" s="168">
        <f>Q229-O229</f>
        <v>10.297456162288114</v>
      </c>
      <c r="S229" s="171">
        <f t="shared" si="53"/>
        <v>0.12749852290279565</v>
      </c>
    </row>
    <row r="230" spans="2:19" ht="15" customHeight="1" x14ac:dyDescent="0.2">
      <c r="E230" s="69">
        <v>4</v>
      </c>
      <c r="F230" s="50">
        <f t="shared" si="47"/>
        <v>88.020326530612266</v>
      </c>
      <c r="G230" s="44">
        <f t="shared" si="48"/>
        <v>22.005081632653066</v>
      </c>
      <c r="H230" s="180">
        <f t="shared" si="44"/>
        <v>0.60699188491302647</v>
      </c>
      <c r="I230" s="718"/>
      <c r="J230" s="180">
        <v>0.60699188491302647</v>
      </c>
      <c r="K230" s="546">
        <v>4</v>
      </c>
      <c r="L230" s="551">
        <f t="shared" si="49"/>
        <v>0.60699188491302647</v>
      </c>
      <c r="N230" s="72">
        <f t="shared" si="45"/>
        <v>22.004560577586844</v>
      </c>
      <c r="O230" s="599">
        <f t="shared" si="50"/>
        <v>88.018242310347375</v>
      </c>
      <c r="P230" s="591">
        <f t="shared" si="46"/>
        <v>1.2000458382062029</v>
      </c>
      <c r="Q230" s="58">
        <f t="shared" si="51"/>
        <v>105.62592537075749</v>
      </c>
      <c r="R230" s="168">
        <f>Q230-O230</f>
        <v>17.60768306041011</v>
      </c>
      <c r="S230" s="171">
        <f t="shared" si="53"/>
        <v>0.16669849753841581</v>
      </c>
    </row>
    <row r="231" spans="2:19" ht="15" customHeight="1" x14ac:dyDescent="0.2">
      <c r="E231" s="70">
        <v>5</v>
      </c>
      <c r="F231" s="54">
        <f t="shared" si="47"/>
        <v>104.64491836734696</v>
      </c>
      <c r="G231" s="45">
        <f t="shared" si="48"/>
        <v>20.928983673469393</v>
      </c>
      <c r="H231" s="179">
        <f t="shared" si="44"/>
        <v>0.57730861722513438</v>
      </c>
      <c r="I231" s="718"/>
      <c r="J231" s="179">
        <v>0.57730861722513438</v>
      </c>
      <c r="K231" s="545">
        <v>5</v>
      </c>
      <c r="L231" s="550">
        <f t="shared" si="49"/>
        <v>0.57730861722513438</v>
      </c>
      <c r="N231" s="73">
        <f t="shared" si="45"/>
        <v>20.92848809916724</v>
      </c>
      <c r="O231" s="598">
        <f t="shared" si="50"/>
        <v>104.6424404958362</v>
      </c>
      <c r="P231" s="591">
        <f t="shared" si="46"/>
        <v>1.2478142312555129</v>
      </c>
      <c r="Q231" s="59">
        <f t="shared" si="51"/>
        <v>130.5743264440126</v>
      </c>
      <c r="R231" s="167">
        <f t="shared" si="52"/>
        <v>25.931885948176401</v>
      </c>
      <c r="S231" s="170">
        <f t="shared" si="53"/>
        <v>0.19859865759518525</v>
      </c>
    </row>
    <row r="232" spans="2:19" ht="15" customHeight="1" x14ac:dyDescent="0.2">
      <c r="E232" s="69">
        <v>10</v>
      </c>
      <c r="F232" s="50">
        <f t="shared" si="47"/>
        <v>169.99857142857155</v>
      </c>
      <c r="G232" s="44">
        <f t="shared" si="48"/>
        <v>16.999857142857156</v>
      </c>
      <c r="H232" s="180">
        <f t="shared" si="44"/>
        <v>0.46892692800026425</v>
      </c>
      <c r="I232" s="718"/>
      <c r="J232" s="180">
        <v>0.46892692800026425</v>
      </c>
      <c r="K232" s="547">
        <v>10</v>
      </c>
      <c r="L232" s="551">
        <f t="shared" si="49"/>
        <v>0.46892692800026425</v>
      </c>
      <c r="M232" s="41"/>
      <c r="N232" s="76">
        <f t="shared" si="45"/>
        <v>16.999454605759713</v>
      </c>
      <c r="O232" s="600">
        <f t="shared" si="50"/>
        <v>169.99454605759712</v>
      </c>
      <c r="P232" s="591">
        <f t="shared" si="46"/>
        <v>1.2396120135463322</v>
      </c>
      <c r="Q232" s="58">
        <f t="shared" si="51"/>
        <v>210.72728153035268</v>
      </c>
      <c r="R232" s="168">
        <f t="shared" si="52"/>
        <v>40.732735472755564</v>
      </c>
      <c r="S232" s="171">
        <f t="shared" si="53"/>
        <v>0.1932959756180811</v>
      </c>
    </row>
    <row r="233" spans="2:19" ht="15" customHeight="1" x14ac:dyDescent="0.2">
      <c r="E233" s="69">
        <v>20</v>
      </c>
      <c r="F233" s="50">
        <f t="shared" si="47"/>
        <v>276.00571428571436</v>
      </c>
      <c r="G233" s="44">
        <f t="shared" si="48"/>
        <v>13.800285714285717</v>
      </c>
      <c r="H233" s="180">
        <f t="shared" si="44"/>
        <v>0.38066940981589348</v>
      </c>
      <c r="I233" s="718"/>
      <c r="J233" s="180">
        <v>0.38066940981589348</v>
      </c>
      <c r="K233" s="546">
        <v>20</v>
      </c>
      <c r="L233" s="551">
        <f t="shared" si="49"/>
        <v>0.38066940981589348</v>
      </c>
      <c r="N233" s="72">
        <f t="shared" si="45"/>
        <v>13.799958939365871</v>
      </c>
      <c r="O233" s="599">
        <f t="shared" si="50"/>
        <v>275.99917878731742</v>
      </c>
      <c r="P233" s="591">
        <f t="shared" si="46"/>
        <v>1.2033682532452745</v>
      </c>
      <c r="Q233" s="58">
        <f t="shared" si="51"/>
        <v>332.12864967442437</v>
      </c>
      <c r="R233" s="168">
        <f t="shared" si="52"/>
        <v>56.129470887106947</v>
      </c>
      <c r="S233" s="171">
        <f t="shared" si="53"/>
        <v>0.16899918432850933</v>
      </c>
    </row>
    <row r="234" spans="2:19" ht="15" customHeight="1" x14ac:dyDescent="0.2">
      <c r="E234" s="69">
        <v>30</v>
      </c>
      <c r="F234" s="50">
        <f t="shared" si="47"/>
        <v>373.39142857142855</v>
      </c>
      <c r="G234" s="44">
        <f t="shared" si="48"/>
        <v>12.446380952380952</v>
      </c>
      <c r="H234" s="180">
        <f t="shared" si="44"/>
        <v>0.34332307240436466</v>
      </c>
      <c r="I234" s="718"/>
      <c r="J234" s="180">
        <v>0.34332307240436466</v>
      </c>
      <c r="K234" s="546">
        <v>30</v>
      </c>
      <c r="L234" s="551">
        <f t="shared" si="49"/>
        <v>0.34332307240436466</v>
      </c>
      <c r="N234" s="72">
        <f t="shared" si="45"/>
        <v>12.446086236371274</v>
      </c>
      <c r="O234" s="599">
        <f t="shared" si="50"/>
        <v>373.38258709113819</v>
      </c>
      <c r="P234" s="591">
        <f t="shared" si="46"/>
        <v>1.1834289562083451</v>
      </c>
      <c r="Q234" s="58">
        <f t="shared" si="51"/>
        <v>441.87176530763719</v>
      </c>
      <c r="R234" s="168">
        <f t="shared" si="52"/>
        <v>68.489178216498999</v>
      </c>
      <c r="S234" s="171">
        <f t="shared" si="53"/>
        <v>0.15499786045124628</v>
      </c>
    </row>
    <row r="235" spans="2:19" ht="15" customHeight="1" x14ac:dyDescent="0.2">
      <c r="E235" s="69">
        <v>40</v>
      </c>
      <c r="F235" s="50">
        <f t="shared" si="47"/>
        <v>461.20571428571418</v>
      </c>
      <c r="G235" s="44">
        <f t="shared" si="48"/>
        <v>11.530142857142854</v>
      </c>
      <c r="H235" s="180">
        <f t="shared" si="44"/>
        <v>0.31804940617844929</v>
      </c>
      <c r="I235" s="718"/>
      <c r="J235" s="180">
        <v>0.31804940617844929</v>
      </c>
      <c r="K235" s="546">
        <v>40</v>
      </c>
      <c r="L235" s="551">
        <f t="shared" si="49"/>
        <v>0.31804940617844929</v>
      </c>
      <c r="N235" s="72">
        <f t="shared" si="45"/>
        <v>11.529869836599223</v>
      </c>
      <c r="O235" s="599">
        <f t="shared" si="50"/>
        <v>461.19479346396895</v>
      </c>
      <c r="P235" s="591">
        <f t="shared" si="46"/>
        <v>1.1668600314703077</v>
      </c>
      <c r="Q235" s="58">
        <f t="shared" si="51"/>
        <v>538.14977121530887</v>
      </c>
      <c r="R235" s="168">
        <f t="shared" si="52"/>
        <v>76.954977751339925</v>
      </c>
      <c r="S235" s="171">
        <f t="shared" si="53"/>
        <v>0.14299918325255764</v>
      </c>
    </row>
    <row r="236" spans="2:19" ht="15" customHeight="1" thickBot="1" x14ac:dyDescent="0.25">
      <c r="E236" s="70">
        <v>50</v>
      </c>
      <c r="F236" s="54">
        <f t="shared" si="47"/>
        <v>538.49857142857127</v>
      </c>
      <c r="G236" s="45">
        <f t="shared" si="48"/>
        <v>10.769971428571425</v>
      </c>
      <c r="H236" s="179">
        <f t="shared" si="44"/>
        <v>0.29708070922070173</v>
      </c>
      <c r="I236" s="718"/>
      <c r="J236" s="179">
        <v>0.29708070922070173</v>
      </c>
      <c r="K236" s="545">
        <v>50</v>
      </c>
      <c r="L236" s="811">
        <f t="shared" si="49"/>
        <v>0.29708070922070173</v>
      </c>
      <c r="N236" s="73">
        <f t="shared" si="45"/>
        <v>10.769716408014373</v>
      </c>
      <c r="O236" s="601">
        <f>K236*N236</f>
        <v>538.48582040071869</v>
      </c>
      <c r="P236" s="592">
        <f t="shared" si="46"/>
        <v>1.1560670806926134</v>
      </c>
      <c r="Q236" s="59">
        <f t="shared" si="51"/>
        <v>622.52573038502578</v>
      </c>
      <c r="R236" s="167">
        <f t="shared" si="52"/>
        <v>84.039909984307087</v>
      </c>
      <c r="S236" s="170">
        <f t="shared" si="53"/>
        <v>0.13499829144785591</v>
      </c>
    </row>
    <row r="237" spans="2:19" ht="15" customHeight="1" x14ac:dyDescent="0.2">
      <c r="E237" s="323"/>
      <c r="F237" s="324"/>
      <c r="G237" s="323"/>
      <c r="H237" s="325"/>
      <c r="I237" s="41"/>
      <c r="J237" s="325"/>
      <c r="P237" s="326"/>
      <c r="Q237" s="324"/>
      <c r="R237" s="324"/>
      <c r="S237" s="327"/>
    </row>
    <row r="238" spans="2:19" ht="15" customHeight="1" x14ac:dyDescent="0.2">
      <c r="E238" s="323"/>
      <c r="F238" s="324"/>
      <c r="G238" s="323"/>
      <c r="H238" s="325"/>
      <c r="I238" s="41"/>
      <c r="J238" s="325"/>
      <c r="P238" s="326"/>
      <c r="Q238" s="504" t="s">
        <v>378</v>
      </c>
      <c r="S238" s="327"/>
    </row>
    <row r="239" spans="2:19" ht="15" customHeight="1" x14ac:dyDescent="0.2">
      <c r="E239" s="323"/>
      <c r="F239" s="324"/>
      <c r="G239" s="323"/>
      <c r="H239" s="325"/>
      <c r="I239" s="41"/>
      <c r="J239" s="325"/>
      <c r="K239" s="323"/>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4">E157</f>
        <v>1.6221000000000001</v>
      </c>
      <c r="S241" s="327">
        <f>R241/R227</f>
        <v>1.0000236794124744</v>
      </c>
    </row>
    <row r="242" spans="1:19" ht="15" customHeight="1" x14ac:dyDescent="0.2">
      <c r="E242" s="323"/>
      <c r="F242" s="324"/>
      <c r="G242" s="323"/>
      <c r="H242" s="325"/>
      <c r="I242" s="41"/>
      <c r="J242" s="325"/>
      <c r="K242" s="323"/>
      <c r="L242" s="325"/>
      <c r="M242" s="41"/>
      <c r="N242" s="324"/>
      <c r="O242" s="324"/>
      <c r="P242" s="326"/>
      <c r="Q242" s="324"/>
      <c r="R242" s="167">
        <f t="shared" si="54"/>
        <v>4.7541000000000002</v>
      </c>
      <c r="S242" s="327">
        <f t="shared" ref="S242:S250" si="55">R242/R228</f>
        <v>1.0000236794124731</v>
      </c>
    </row>
    <row r="243" spans="1:19" ht="15" customHeight="1" x14ac:dyDescent="0.2">
      <c r="R243" s="168">
        <f t="shared" si="54"/>
        <v>10.297700000000001</v>
      </c>
      <c r="S243" s="327">
        <f t="shared" si="55"/>
        <v>1.0000236794124728</v>
      </c>
    </row>
    <row r="244" spans="1:19" ht="15" customHeight="1" x14ac:dyDescent="0.2">
      <c r="R244" s="168">
        <f t="shared" si="54"/>
        <v>17.6081</v>
      </c>
      <c r="S244" s="327">
        <f t="shared" si="55"/>
        <v>1.0000236794124735</v>
      </c>
    </row>
    <row r="245" spans="1:19" ht="15" customHeight="1" x14ac:dyDescent="0.2">
      <c r="R245" s="167">
        <f t="shared" si="54"/>
        <v>25.932500000000001</v>
      </c>
      <c r="S245" s="327">
        <f t="shared" si="55"/>
        <v>1.0000236794124742</v>
      </c>
    </row>
    <row r="246" spans="1:19" ht="15" customHeight="1" x14ac:dyDescent="0.2">
      <c r="R246" s="168">
        <f t="shared" si="54"/>
        <v>40.733699999999999</v>
      </c>
      <c r="S246" s="327">
        <f t="shared" si="55"/>
        <v>1.0000236794124735</v>
      </c>
    </row>
    <row r="247" spans="1:19" ht="15" customHeight="1" x14ac:dyDescent="0.2">
      <c r="F247" s="41"/>
      <c r="G247" s="41"/>
      <c r="H247" s="41"/>
      <c r="I247" s="41"/>
      <c r="J247" s="41"/>
      <c r="K247" s="41"/>
      <c r="L247" s="41"/>
      <c r="M247" s="41"/>
      <c r="N247" s="41"/>
      <c r="O247" s="41"/>
      <c r="P247" s="41"/>
      <c r="R247" s="168">
        <f t="shared" si="54"/>
        <v>56.130800000000001</v>
      </c>
      <c r="S247" s="327">
        <f t="shared" si="55"/>
        <v>1.0000236794124735</v>
      </c>
    </row>
    <row r="248" spans="1:19" ht="15" customHeight="1" x14ac:dyDescent="0.2">
      <c r="B248" s="90"/>
      <c r="R248" s="168">
        <f t="shared" si="54"/>
        <v>68.490799999999993</v>
      </c>
      <c r="S248" s="327">
        <f t="shared" si="55"/>
        <v>1.0000236794124739</v>
      </c>
    </row>
    <row r="249" spans="1:19" ht="15" customHeight="1" x14ac:dyDescent="0.2">
      <c r="A249" s="90" t="s">
        <v>95</v>
      </c>
      <c r="B249" s="64" t="s">
        <v>383</v>
      </c>
      <c r="R249" s="168">
        <f t="shared" si="54"/>
        <v>76.956800000000001</v>
      </c>
      <c r="S249" s="327">
        <f t="shared" si="55"/>
        <v>1.0000236794124737</v>
      </c>
    </row>
    <row r="250" spans="1:19" ht="15" customHeight="1" x14ac:dyDescent="0.2">
      <c r="B250" s="348"/>
      <c r="R250" s="167">
        <f t="shared" si="54"/>
        <v>84.041899999999998</v>
      </c>
      <c r="S250" s="327">
        <f t="shared" si="55"/>
        <v>1.0000236794124753</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4.2</v>
      </c>
      <c r="C257" s="1" t="s">
        <v>0</v>
      </c>
      <c r="D257" s="22"/>
      <c r="E257" s="71">
        <v>1</v>
      </c>
      <c r="F257" s="166">
        <f t="shared" ref="F257:F266" si="56">G185</f>
        <v>1.6221000000000001</v>
      </c>
      <c r="G257" s="49">
        <f>F257/E257</f>
        <v>1.6221000000000001</v>
      </c>
      <c r="H257" s="178">
        <f>SQRT(12*32.2*G257^2/(4*$B$258*($B$257*56)*$B$256^2))</f>
        <v>4.4744280114661437E-2</v>
      </c>
      <c r="I257" s="718"/>
      <c r="J257" s="178">
        <v>4.4744280114661437E-2</v>
      </c>
      <c r="K257" s="71">
        <v>1</v>
      </c>
      <c r="L257" s="549">
        <f>J257*$L$255</f>
        <v>4.4744280114661437E-2</v>
      </c>
      <c r="M257" s="5">
        <f>(B257*2.20462*25.4*12)</f>
        <v>2822.2663391999999</v>
      </c>
      <c r="N257" s="74">
        <f>L257*B$256*SQRT(4*B$258*M$257/32.2)/12</f>
        <v>1.6220615905345397</v>
      </c>
      <c r="O257" s="218">
        <f>K257*N257</f>
        <v>1.6220615905345397</v>
      </c>
      <c r="Q257" s="218">
        <f t="shared" ref="Q257:Q266" si="57">E157</f>
        <v>1.6221000000000001</v>
      </c>
      <c r="R257" s="327">
        <f>Q257/O257</f>
        <v>1.0000236794124739</v>
      </c>
    </row>
    <row r="258" spans="2:18" ht="15" customHeight="1" x14ac:dyDescent="0.2">
      <c r="B258" s="271">
        <f>D207</f>
        <v>85</v>
      </c>
      <c r="C258" s="77" t="s">
        <v>1</v>
      </c>
      <c r="D258" s="17"/>
      <c r="E258" s="70">
        <v>2</v>
      </c>
      <c r="F258" s="167">
        <f t="shared" si="56"/>
        <v>4.7541000000000002</v>
      </c>
      <c r="G258" s="48">
        <f t="shared" ref="G258:G266" si="58">F258/E258</f>
        <v>2.3770500000000001</v>
      </c>
      <c r="H258" s="179">
        <f t="shared" ref="H258:H266" si="59">SQRT(12*32.2*G258^2/(4*$B$258*($B$257*56)*$B$256^2))</f>
        <v>6.5568948305626026E-2</v>
      </c>
      <c r="I258" s="718"/>
      <c r="J258" s="179">
        <v>6.5568948305626026E-2</v>
      </c>
      <c r="K258" s="70">
        <v>2</v>
      </c>
      <c r="L258" s="550">
        <f t="shared" ref="L258:L266" si="60">J258*$L$255</f>
        <v>6.5568948305626026E-2</v>
      </c>
      <c r="N258" s="73">
        <f t="shared" ref="N258:N266" si="61">L258*B$256*SQRT(4*B$258*M$257/32.2)/12</f>
        <v>2.3769937141853941</v>
      </c>
      <c r="O258" s="219">
        <f t="shared" ref="O258" si="62">K258*N258</f>
        <v>4.7539874283707881</v>
      </c>
      <c r="Q258" s="219">
        <f t="shared" si="57"/>
        <v>4.7541000000000002</v>
      </c>
      <c r="R258" s="327">
        <f t="shared" ref="R258:R266" si="63">Q258/O258</f>
        <v>1.0000236794124739</v>
      </c>
    </row>
    <row r="259" spans="2:18" ht="15" customHeight="1" x14ac:dyDescent="0.2">
      <c r="E259" s="69">
        <v>3</v>
      </c>
      <c r="F259" s="168">
        <f t="shared" si="56"/>
        <v>10.297700000000001</v>
      </c>
      <c r="G259" s="47">
        <f t="shared" si="58"/>
        <v>3.4325666666666668</v>
      </c>
      <c r="H259" s="180">
        <f t="shared" si="59"/>
        <v>9.4684498147822593E-2</v>
      </c>
      <c r="I259" s="718"/>
      <c r="J259" s="180">
        <v>9.4684498147822593E-2</v>
      </c>
      <c r="K259" s="69">
        <v>3</v>
      </c>
      <c r="L259" s="551">
        <f t="shared" si="60"/>
        <v>9.4684498147822593E-2</v>
      </c>
      <c r="N259" s="72">
        <f t="shared" si="61"/>
        <v>3.4324853874293666</v>
      </c>
      <c r="O259" s="220">
        <f>K259*N259</f>
        <v>10.2974561622881</v>
      </c>
      <c r="Q259" s="220">
        <f t="shared" si="57"/>
        <v>10.297700000000001</v>
      </c>
      <c r="R259" s="327">
        <f t="shared" si="63"/>
        <v>1.0000236794124742</v>
      </c>
    </row>
    <row r="260" spans="2:18" ht="15" customHeight="1" x14ac:dyDescent="0.2">
      <c r="E260" s="69">
        <v>4</v>
      </c>
      <c r="F260" s="168">
        <f t="shared" si="56"/>
        <v>17.6081</v>
      </c>
      <c r="G260" s="47">
        <f t="shared" si="58"/>
        <v>4.4020250000000001</v>
      </c>
      <c r="H260" s="180">
        <f t="shared" si="59"/>
        <v>0.12142620040178936</v>
      </c>
      <c r="I260" s="718"/>
      <c r="J260" s="180">
        <v>0.12142620040178936</v>
      </c>
      <c r="K260" s="69">
        <v>4</v>
      </c>
      <c r="L260" s="551">
        <f t="shared" si="60"/>
        <v>0.12142620040178936</v>
      </c>
      <c r="N260" s="72">
        <f t="shared" si="61"/>
        <v>4.4019207651025258</v>
      </c>
      <c r="O260" s="220">
        <f t="shared" ref="O260:O266" si="64">K260*N260</f>
        <v>17.607683060410103</v>
      </c>
      <c r="Q260" s="220">
        <f t="shared" si="57"/>
        <v>17.6081</v>
      </c>
      <c r="R260" s="327">
        <f t="shared" si="63"/>
        <v>1.0000236794124739</v>
      </c>
    </row>
    <row r="261" spans="2:18" ht="15" customHeight="1" x14ac:dyDescent="0.2">
      <c r="E261" s="70">
        <v>5</v>
      </c>
      <c r="F261" s="167">
        <f t="shared" si="56"/>
        <v>25.932500000000001</v>
      </c>
      <c r="G261" s="48">
        <f t="shared" si="58"/>
        <v>5.1865000000000006</v>
      </c>
      <c r="H261" s="179">
        <f t="shared" si="59"/>
        <v>0.14306529117482988</v>
      </c>
      <c r="I261" s="718"/>
      <c r="J261" s="179">
        <v>0.14306529117482988</v>
      </c>
      <c r="K261" s="70">
        <v>5</v>
      </c>
      <c r="L261" s="550">
        <f t="shared" si="60"/>
        <v>0.14306529117482988</v>
      </c>
      <c r="N261" s="73">
        <f t="shared" si="61"/>
        <v>5.186377189635281</v>
      </c>
      <c r="O261" s="219">
        <f t="shared" si="64"/>
        <v>25.931885948176404</v>
      </c>
      <c r="Q261" s="219">
        <f t="shared" si="57"/>
        <v>25.932500000000001</v>
      </c>
      <c r="R261" s="327">
        <f t="shared" si="63"/>
        <v>1.0000236794124739</v>
      </c>
    </row>
    <row r="262" spans="2:18" ht="15" customHeight="1" x14ac:dyDescent="0.2">
      <c r="E262" s="69">
        <v>10</v>
      </c>
      <c r="F262" s="168">
        <f t="shared" si="56"/>
        <v>40.733699999999999</v>
      </c>
      <c r="G262" s="47">
        <f t="shared" si="58"/>
        <v>4.0733699999999997</v>
      </c>
      <c r="H262" s="180">
        <f t="shared" si="59"/>
        <v>0.11236052542423923</v>
      </c>
      <c r="I262" s="718"/>
      <c r="J262" s="180">
        <v>0.11236052542423923</v>
      </c>
      <c r="K262" s="75">
        <v>10</v>
      </c>
      <c r="L262" s="551">
        <f t="shared" si="60"/>
        <v>0.11236052542423923</v>
      </c>
      <c r="M262" s="41"/>
      <c r="N262" s="76">
        <f t="shared" si="61"/>
        <v>4.073273547275555</v>
      </c>
      <c r="O262" s="221">
        <f t="shared" si="64"/>
        <v>40.73273547275555</v>
      </c>
      <c r="Q262" s="221">
        <f t="shared" si="57"/>
        <v>40.733699999999999</v>
      </c>
      <c r="R262" s="327">
        <f t="shared" si="63"/>
        <v>1.0000236794124739</v>
      </c>
    </row>
    <row r="263" spans="2:18" ht="15" customHeight="1" x14ac:dyDescent="0.2">
      <c r="E263" s="69">
        <v>20</v>
      </c>
      <c r="F263" s="168">
        <f t="shared" si="56"/>
        <v>56.130800000000001</v>
      </c>
      <c r="G263" s="47">
        <f t="shared" si="58"/>
        <v>2.80654</v>
      </c>
      <c r="H263" s="180">
        <f t="shared" si="59"/>
        <v>7.7416072938167754E-2</v>
      </c>
      <c r="I263" s="718"/>
      <c r="J263" s="180">
        <v>7.7416072938167754E-2</v>
      </c>
      <c r="K263" s="69">
        <v>20</v>
      </c>
      <c r="L263" s="551">
        <f t="shared" si="60"/>
        <v>7.7416072938167754E-2</v>
      </c>
      <c r="N263" s="72">
        <f t="shared" si="61"/>
        <v>2.8064735443553457</v>
      </c>
      <c r="O263" s="220">
        <f t="shared" si="64"/>
        <v>56.129470887106912</v>
      </c>
      <c r="Q263" s="220">
        <f t="shared" si="57"/>
        <v>56.130800000000001</v>
      </c>
      <c r="R263" s="327">
        <f t="shared" si="63"/>
        <v>1.0000236794124742</v>
      </c>
    </row>
    <row r="264" spans="2:18" ht="15" customHeight="1" x14ac:dyDescent="0.2">
      <c r="E264" s="69">
        <v>30</v>
      </c>
      <c r="F264" s="168">
        <f t="shared" si="56"/>
        <v>68.490799999999993</v>
      </c>
      <c r="G264" s="47">
        <f t="shared" si="58"/>
        <v>2.2830266666666663</v>
      </c>
      <c r="H264" s="180">
        <f t="shared" si="59"/>
        <v>6.2975392813374706E-2</v>
      </c>
      <c r="I264" s="718"/>
      <c r="J264" s="180">
        <v>6.2975392813374706E-2</v>
      </c>
      <c r="K264" s="69">
        <v>30</v>
      </c>
      <c r="L264" s="551">
        <f t="shared" si="60"/>
        <v>6.2975392813374706E-2</v>
      </c>
      <c r="N264" s="72">
        <f t="shared" si="61"/>
        <v>2.2829726072166334</v>
      </c>
      <c r="O264" s="220">
        <f t="shared" si="64"/>
        <v>68.489178216498999</v>
      </c>
      <c r="Q264" s="220">
        <f t="shared" si="57"/>
        <v>68.490799999999993</v>
      </c>
      <c r="R264" s="327">
        <f t="shared" si="63"/>
        <v>1.0000236794124739</v>
      </c>
    </row>
    <row r="265" spans="2:18" ht="15" customHeight="1" x14ac:dyDescent="0.2">
      <c r="E265" s="69">
        <v>40</v>
      </c>
      <c r="F265" s="168">
        <f t="shared" si="56"/>
        <v>76.956800000000001</v>
      </c>
      <c r="G265" s="47">
        <f t="shared" si="58"/>
        <v>1.9239200000000001</v>
      </c>
      <c r="H265" s="180">
        <f t="shared" si="59"/>
        <v>5.3069733924048727E-2</v>
      </c>
      <c r="I265" s="718"/>
      <c r="J265" s="180">
        <v>5.3069733924048727E-2</v>
      </c>
      <c r="K265" s="69">
        <v>40</v>
      </c>
      <c r="L265" s="551">
        <f t="shared" si="60"/>
        <v>5.3069733924048727E-2</v>
      </c>
      <c r="N265" s="72">
        <f t="shared" si="61"/>
        <v>1.9238744437834978</v>
      </c>
      <c r="O265" s="220">
        <f t="shared" si="64"/>
        <v>76.954977751339911</v>
      </c>
      <c r="Q265" s="220">
        <f t="shared" si="57"/>
        <v>76.956800000000001</v>
      </c>
      <c r="R265" s="327">
        <f t="shared" si="63"/>
        <v>1.0000236794124739</v>
      </c>
    </row>
    <row r="266" spans="2:18" ht="15" customHeight="1" x14ac:dyDescent="0.2">
      <c r="E266" s="70">
        <v>50</v>
      </c>
      <c r="F266" s="167">
        <f t="shared" si="56"/>
        <v>84.041899999999998</v>
      </c>
      <c r="G266" s="48">
        <f t="shared" si="58"/>
        <v>1.6808380000000001</v>
      </c>
      <c r="H266" s="179">
        <f t="shared" si="59"/>
        <v>4.6364519018166142E-2</v>
      </c>
      <c r="I266" s="718"/>
      <c r="J266" s="179">
        <v>4.6364519018166142E-2</v>
      </c>
      <c r="K266" s="70">
        <v>50</v>
      </c>
      <c r="L266" s="811">
        <f t="shared" si="60"/>
        <v>4.6364519018166142E-2</v>
      </c>
      <c r="N266" s="73">
        <f t="shared" si="61"/>
        <v>1.6807981996861443</v>
      </c>
      <c r="O266" s="219">
        <f t="shared" si="64"/>
        <v>84.039909984307215</v>
      </c>
      <c r="Q266" s="219">
        <f t="shared" si="57"/>
        <v>84.041899999999998</v>
      </c>
      <c r="R266" s="327">
        <f t="shared" si="63"/>
        <v>1.0000236794124739</v>
      </c>
    </row>
    <row r="267" spans="2:18" ht="15" customHeight="1" x14ac:dyDescent="0.2"/>
    <row r="268" spans="2:18" ht="15" customHeight="1" x14ac:dyDescent="0.2">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348"/>
      <c r="C274" s="1"/>
      <c r="D274" s="1"/>
      <c r="E274" s="1"/>
      <c r="F274" s="1"/>
      <c r="G274" s="1"/>
      <c r="H274" s="1"/>
      <c r="I274" s="1"/>
      <c r="J274" s="1"/>
      <c r="K274" s="1"/>
      <c r="L274" s="1"/>
      <c r="M274" s="1"/>
      <c r="N274" s="1"/>
      <c r="O274" s="334" t="s">
        <v>195</v>
      </c>
      <c r="P274" s="687" t="s">
        <v>525</v>
      </c>
    </row>
    <row r="275" spans="1:16" ht="15" customHeight="1" x14ac:dyDescent="0.2">
      <c r="A275" s="35"/>
      <c r="B275" s="539"/>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3514s</v>
      </c>
      <c r="C277" s="1"/>
      <c r="D277" s="1"/>
      <c r="E277" s="1"/>
      <c r="F277" s="1"/>
      <c r="G277" s="1"/>
      <c r="H277" s="1"/>
      <c r="I277" s="1"/>
      <c r="J277" s="1"/>
      <c r="K277" s="276"/>
      <c r="L277" s="1"/>
      <c r="M277" s="1"/>
      <c r="N277" s="1"/>
      <c r="O277" s="330"/>
      <c r="P277" s="22"/>
    </row>
    <row r="278" spans="1:16" ht="15" customHeight="1" x14ac:dyDescent="0.2">
      <c r="A278" s="274"/>
      <c r="B278" s="275" t="str">
        <f>B10</f>
        <v>19 SXF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Rob Riner</v>
      </c>
      <c r="C279" s="1"/>
      <c r="E279" s="1" t="str">
        <f>B6</f>
        <v xml:space="preserve">  We are removing calc gas (73c and 69c) and displaying linear gas force (77 lbs and 73 lbs) for 12sxf450-psh and 16sxf250-psh respectively.  (See note above)</v>
      </c>
      <c r="F279" s="1"/>
      <c r="G279" s="1"/>
      <c r="H279" s="1"/>
      <c r="I279" s="1"/>
      <c r="J279" s="1"/>
      <c r="K279" s="276"/>
      <c r="L279" s="1"/>
      <c r="M279" s="1"/>
      <c r="N279" s="1"/>
      <c r="O279" s="330"/>
      <c r="P279" s="22"/>
    </row>
    <row r="280" spans="1:16" ht="15" customHeight="1" x14ac:dyDescent="0.2">
      <c r="A280" s="274"/>
      <c r="B280" s="275" t="str">
        <f>B12</f>
        <v>mx18-psh</v>
      </c>
      <c r="C280" s="1"/>
      <c r="D280" s="275" t="str">
        <f>D12</f>
        <v>16 flsprs</v>
      </c>
      <c r="E280" s="1"/>
      <c r="F280" s="1"/>
      <c r="G280" s="1"/>
      <c r="H280" s="1"/>
      <c r="I280" s="1"/>
      <c r="J280" s="1"/>
      <c r="K280" s="276"/>
      <c r="L280" s="1"/>
      <c r="M280" s="1"/>
      <c r="N280" s="1"/>
      <c r="O280" s="330"/>
      <c r="P280" s="22"/>
    </row>
    <row r="281" spans="1:16" ht="15" customHeight="1" x14ac:dyDescent="0.2">
      <c r="A281" s="35"/>
      <c r="B281" s="275" t="str">
        <f>B13</f>
        <v>TRENDLINE</v>
      </c>
      <c r="C281" s="275" t="str">
        <f>C13</f>
        <v>v11</v>
      </c>
      <c r="D281" s="275">
        <f>D13</f>
        <v>0</v>
      </c>
      <c r="E281" s="1"/>
      <c r="F281" s="1"/>
      <c r="G281" s="1"/>
      <c r="H281" s="1"/>
      <c r="I281" s="1"/>
      <c r="J281" s="1"/>
      <c r="K281" s="276"/>
      <c r="L281" s="1"/>
      <c r="M281" s="1"/>
      <c r="N281" s="1"/>
      <c r="O281" s="330"/>
      <c r="P281" s="22"/>
    </row>
    <row r="282" spans="1:16" ht="15" customHeight="1" x14ac:dyDescent="0.2">
      <c r="A282" s="35"/>
      <c r="B282" s="275" t="s">
        <v>0</v>
      </c>
      <c r="C282" s="688">
        <f>D206</f>
        <v>4.2</v>
      </c>
      <c r="D282" s="1"/>
      <c r="E282" s="1"/>
      <c r="F282" s="1"/>
      <c r="G282" s="1"/>
      <c r="H282" s="1"/>
      <c r="I282" s="539"/>
      <c r="J282" s="1"/>
      <c r="K282" s="1"/>
      <c r="L282" s="1"/>
      <c r="M282" s="1"/>
      <c r="N282" s="1"/>
      <c r="O282" s="1"/>
      <c r="P282" s="22"/>
    </row>
    <row r="283" spans="1:16" ht="15" customHeight="1" x14ac:dyDescent="0.2">
      <c r="A283" s="11"/>
      <c r="B283" s="442" t="s">
        <v>202</v>
      </c>
      <c r="C283" s="275"/>
      <c r="D283" s="1"/>
      <c r="E283" s="1"/>
      <c r="F283" s="1"/>
      <c r="G283" s="1"/>
      <c r="H283" s="1"/>
      <c r="I283" s="445" t="str">
        <f>IF($B$12="12sxf450-psh","calc gas force = 73c, linear = 77","calc gas force = 69c, linear = 73")</f>
        <v>calc gas force = 69c, linear = 73</v>
      </c>
      <c r="J283" s="445"/>
      <c r="K283" s="1"/>
      <c r="L283" s="1"/>
      <c r="M283" s="1"/>
      <c r="N283" s="1"/>
      <c r="O283" s="1"/>
      <c r="P283" s="22"/>
    </row>
    <row r="284" spans="1:16" ht="15" customHeight="1" x14ac:dyDescent="0.2">
      <c r="A284" s="35"/>
      <c r="B284" s="1"/>
      <c r="C284" s="1"/>
      <c r="D284" s="1"/>
      <c r="E284" s="1"/>
      <c r="F284" s="1"/>
      <c r="G284" s="1"/>
      <c r="H284" s="446">
        <f>J155</f>
        <v>3514</v>
      </c>
      <c r="I284" s="1"/>
      <c r="J284" s="1"/>
      <c r="K284" s="1"/>
      <c r="L284" s="1"/>
      <c r="M284" s="1"/>
      <c r="N284" s="1"/>
      <c r="O284" s="1"/>
      <c r="P284" s="22"/>
    </row>
    <row r="285" spans="1:16" ht="15" customHeight="1" x14ac:dyDescent="0.2">
      <c r="A285" s="300" t="s">
        <v>151</v>
      </c>
      <c r="B285" s="448">
        <f>D206</f>
        <v>4.2</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589" t="s">
        <v>428</v>
      </c>
      <c r="M286" s="183" t="s">
        <v>39</v>
      </c>
      <c r="N286" s="589" t="s">
        <v>429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456">
        <f t="shared" ref="C288:E297" si="65">C185</f>
        <v>47.122732653061206</v>
      </c>
      <c r="D288" s="456">
        <f t="shared" si="65"/>
        <v>116.12273265306121</v>
      </c>
      <c r="E288" s="456">
        <f t="shared" si="65"/>
        <v>29.122732653061206</v>
      </c>
      <c r="F288" s="456">
        <f>G288+J288</f>
        <v>41.500632653061203</v>
      </c>
      <c r="G288" s="456">
        <f t="shared" ref="G288:H297" si="66">F185</f>
        <v>27.500632653061206</v>
      </c>
      <c r="H288" s="457">
        <f t="shared" si="66"/>
        <v>1.6221000000000001</v>
      </c>
      <c r="I288" s="458">
        <f>M185</f>
        <v>73</v>
      </c>
      <c r="J288" s="456">
        <f t="shared" ref="J288:J297" si="67">L185</f>
        <v>14</v>
      </c>
      <c r="K288" s="708">
        <f>H288/E288</f>
        <v>5.5698756683449306E-2</v>
      </c>
      <c r="L288" s="584">
        <f t="shared" ref="L288:L297" si="68">F205</f>
        <v>1.2998721885166151</v>
      </c>
      <c r="M288" s="584">
        <f t="shared" ref="M288:M297" si="69">H227</f>
        <v>0.75858209158435086</v>
      </c>
      <c r="N288" s="584">
        <f t="shared" ref="N288:N297" si="70">H257</f>
        <v>4.4744280114661437E-2</v>
      </c>
      <c r="O288" s="1"/>
      <c r="P288" s="468">
        <f>L288</f>
        <v>1.2998721885166151</v>
      </c>
    </row>
    <row r="289" spans="1:16" ht="15" customHeight="1" x14ac:dyDescent="0.2">
      <c r="A289" s="35"/>
      <c r="B289" s="449">
        <v>2</v>
      </c>
      <c r="C289" s="127">
        <f t="shared" si="65"/>
        <v>73.474426530612192</v>
      </c>
      <c r="D289" s="127">
        <f t="shared" si="65"/>
        <v>142.47442653061219</v>
      </c>
      <c r="E289" s="127">
        <f t="shared" si="65"/>
        <v>55.474426530612192</v>
      </c>
      <c r="F289" s="127">
        <f t="shared" ref="F289:F297" si="71">G289+J289</f>
        <v>64.720326530612198</v>
      </c>
      <c r="G289" s="127">
        <f t="shared" si="66"/>
        <v>50.720326530612191</v>
      </c>
      <c r="H289" s="460">
        <f t="shared" si="66"/>
        <v>4.7541000000000002</v>
      </c>
      <c r="I289" s="461">
        <f t="shared" ref="I289:I297" si="72">M186</f>
        <v>73</v>
      </c>
      <c r="J289" s="127">
        <f t="shared" si="67"/>
        <v>14</v>
      </c>
      <c r="K289" s="709">
        <f t="shared" ref="K289:K297" si="73">H289/E289</f>
        <v>8.5698948097761185E-2</v>
      </c>
      <c r="L289" s="585">
        <f t="shared" si="68"/>
        <v>1.0133894856811296</v>
      </c>
      <c r="M289" s="585">
        <f t="shared" si="69"/>
        <v>0.69953902280772029</v>
      </c>
      <c r="N289" s="585">
        <f t="shared" si="70"/>
        <v>6.5568948305626026E-2</v>
      </c>
      <c r="O289" s="1"/>
      <c r="P289" s="469">
        <f t="shared" ref="P289:P297" si="74">L289</f>
        <v>1.0133894856811296</v>
      </c>
    </row>
    <row r="290" spans="1:16" ht="15" customHeight="1" x14ac:dyDescent="0.2">
      <c r="A290" s="35"/>
      <c r="B290" s="449">
        <v>3</v>
      </c>
      <c r="C290" s="463">
        <f t="shared" si="65"/>
        <v>98.767210204081607</v>
      </c>
      <c r="D290" s="463">
        <f t="shared" si="65"/>
        <v>167.76721020408161</v>
      </c>
      <c r="E290" s="463">
        <f t="shared" si="65"/>
        <v>80.767210204081621</v>
      </c>
      <c r="F290" s="463">
        <f t="shared" si="71"/>
        <v>84.469510204081615</v>
      </c>
      <c r="G290" s="463">
        <f t="shared" si="66"/>
        <v>70.469510204081615</v>
      </c>
      <c r="H290" s="464">
        <f t="shared" si="66"/>
        <v>10.297700000000001</v>
      </c>
      <c r="I290" s="465">
        <f t="shared" si="72"/>
        <v>73</v>
      </c>
      <c r="J290" s="463">
        <f t="shared" si="67"/>
        <v>14</v>
      </c>
      <c r="K290" s="710">
        <f t="shared" si="73"/>
        <v>0.12749852290279551</v>
      </c>
      <c r="L290" s="586">
        <f t="shared" si="68"/>
        <v>0.90815863493377658</v>
      </c>
      <c r="M290" s="586">
        <f t="shared" si="69"/>
        <v>0.64794762018667573</v>
      </c>
      <c r="N290" s="586">
        <f t="shared" si="70"/>
        <v>9.4684498147822593E-2</v>
      </c>
      <c r="O290" s="1"/>
      <c r="P290" s="470">
        <f t="shared" si="74"/>
        <v>0.90815863493377658</v>
      </c>
    </row>
    <row r="291" spans="1:16" ht="15" customHeight="1" x14ac:dyDescent="0.2">
      <c r="A291" s="35"/>
      <c r="B291" s="449">
        <v>4</v>
      </c>
      <c r="C291" s="463">
        <f t="shared" si="65"/>
        <v>123.62842653061227</v>
      </c>
      <c r="D291" s="463">
        <f t="shared" si="65"/>
        <v>192.62842653061227</v>
      </c>
      <c r="E291" s="463">
        <f t="shared" si="65"/>
        <v>105.62842653061227</v>
      </c>
      <c r="F291" s="463">
        <f t="shared" si="71"/>
        <v>102.02032653061227</v>
      </c>
      <c r="G291" s="463">
        <f t="shared" si="66"/>
        <v>88.020326530612266</v>
      </c>
      <c r="H291" s="464">
        <f t="shared" si="66"/>
        <v>17.6081</v>
      </c>
      <c r="I291" s="465">
        <f t="shared" si="72"/>
        <v>73</v>
      </c>
      <c r="J291" s="463">
        <f t="shared" si="67"/>
        <v>14</v>
      </c>
      <c r="K291" s="710">
        <f t="shared" si="73"/>
        <v>0.16669849753841576</v>
      </c>
      <c r="L291" s="586">
        <f t="shared" si="68"/>
        <v>0.85256703245738563</v>
      </c>
      <c r="M291" s="586">
        <f t="shared" si="69"/>
        <v>0.60699188491302647</v>
      </c>
      <c r="N291" s="586">
        <f t="shared" si="70"/>
        <v>0.12142620040178936</v>
      </c>
      <c r="O291" s="1"/>
      <c r="P291" s="470">
        <f t="shared" si="74"/>
        <v>0.85256703245738563</v>
      </c>
    </row>
    <row r="292" spans="1:16" ht="15" customHeight="1" x14ac:dyDescent="0.2">
      <c r="A292" s="35"/>
      <c r="B292" s="449">
        <v>5</v>
      </c>
      <c r="C292" s="127">
        <f t="shared" si="65"/>
        <v>148.57741836734695</v>
      </c>
      <c r="D292" s="127">
        <f t="shared" si="65"/>
        <v>217.57741836734695</v>
      </c>
      <c r="E292" s="127">
        <f t="shared" si="65"/>
        <v>130.57741836734695</v>
      </c>
      <c r="F292" s="127">
        <f t="shared" si="71"/>
        <v>118.64491836734696</v>
      </c>
      <c r="G292" s="127">
        <f t="shared" si="66"/>
        <v>104.64491836734696</v>
      </c>
      <c r="H292" s="460">
        <f t="shared" si="66"/>
        <v>25.932500000000001</v>
      </c>
      <c r="I292" s="461">
        <f t="shared" si="72"/>
        <v>73</v>
      </c>
      <c r="J292" s="127">
        <f t="shared" si="67"/>
        <v>14</v>
      </c>
      <c r="K292" s="709">
        <f t="shared" si="73"/>
        <v>0.19859865759518533</v>
      </c>
      <c r="L292" s="585">
        <f t="shared" si="68"/>
        <v>0.81969632533509573</v>
      </c>
      <c r="M292" s="585">
        <f t="shared" si="69"/>
        <v>0.57730861722513438</v>
      </c>
      <c r="N292" s="585">
        <f t="shared" si="70"/>
        <v>0.14306529117482988</v>
      </c>
      <c r="O292" s="1"/>
      <c r="P292" s="469">
        <f t="shared" si="74"/>
        <v>0.81969632533509573</v>
      </c>
    </row>
    <row r="293" spans="1:16" ht="15" customHeight="1" x14ac:dyDescent="0.2">
      <c r="A293" s="35"/>
      <c r="B293" s="449">
        <v>10</v>
      </c>
      <c r="C293" s="463">
        <f t="shared" si="65"/>
        <v>228.73227142857155</v>
      </c>
      <c r="D293" s="463">
        <f t="shared" si="65"/>
        <v>297.73227142857155</v>
      </c>
      <c r="E293" s="463">
        <f t="shared" si="65"/>
        <v>210.73227142857155</v>
      </c>
      <c r="F293" s="463">
        <f t="shared" si="71"/>
        <v>183.99857142857155</v>
      </c>
      <c r="G293" s="463">
        <f t="shared" si="66"/>
        <v>169.99857142857155</v>
      </c>
      <c r="H293" s="464">
        <f t="shared" si="66"/>
        <v>40.733699999999999</v>
      </c>
      <c r="I293" s="465">
        <f t="shared" si="72"/>
        <v>73</v>
      </c>
      <c r="J293" s="463">
        <f t="shared" si="67"/>
        <v>14</v>
      </c>
      <c r="K293" s="710">
        <f t="shared" si="73"/>
        <v>0.19329597561808101</v>
      </c>
      <c r="L293" s="586">
        <f t="shared" si="68"/>
        <v>0.63095389742198871</v>
      </c>
      <c r="M293" s="586">
        <f t="shared" si="69"/>
        <v>0.46892692800026425</v>
      </c>
      <c r="N293" s="586">
        <f t="shared" si="70"/>
        <v>0.11236052542423923</v>
      </c>
      <c r="O293" s="1"/>
      <c r="P293" s="470">
        <f t="shared" si="74"/>
        <v>0.63095389742198871</v>
      </c>
    </row>
    <row r="294" spans="1:16" ht="15" customHeight="1" x14ac:dyDescent="0.2">
      <c r="A294" s="35"/>
      <c r="B294" s="449">
        <v>20</v>
      </c>
      <c r="C294" s="463">
        <f t="shared" si="65"/>
        <v>350.13651428571438</v>
      </c>
      <c r="D294" s="463">
        <f t="shared" si="65"/>
        <v>419.13651428571438</v>
      </c>
      <c r="E294" s="463">
        <f t="shared" si="65"/>
        <v>332.13651428571438</v>
      </c>
      <c r="F294" s="463">
        <f t="shared" si="71"/>
        <v>290.00571428571436</v>
      </c>
      <c r="G294" s="463">
        <f t="shared" si="66"/>
        <v>276.00571428571436</v>
      </c>
      <c r="H294" s="464">
        <f t="shared" si="66"/>
        <v>56.130800000000001</v>
      </c>
      <c r="I294" s="465">
        <f t="shared" si="72"/>
        <v>73</v>
      </c>
      <c r="J294" s="463">
        <f t="shared" si="67"/>
        <v>14</v>
      </c>
      <c r="K294" s="710">
        <f t="shared" si="73"/>
        <v>0.16899918432850927</v>
      </c>
      <c r="L294" s="586">
        <f t="shared" si="68"/>
        <v>0.48292266967521058</v>
      </c>
      <c r="M294" s="586">
        <f t="shared" si="69"/>
        <v>0.38066940981589348</v>
      </c>
      <c r="N294" s="586">
        <f t="shared" si="70"/>
        <v>7.7416072938167754E-2</v>
      </c>
      <c r="O294" s="1"/>
      <c r="P294" s="470">
        <f t="shared" si="74"/>
        <v>0.48292266967521058</v>
      </c>
    </row>
    <row r="295" spans="1:16" ht="15" customHeight="1" x14ac:dyDescent="0.2">
      <c r="A295" s="35"/>
      <c r="B295" s="449">
        <v>30</v>
      </c>
      <c r="C295" s="463">
        <f t="shared" si="65"/>
        <v>459.88222857142853</v>
      </c>
      <c r="D295" s="463">
        <f t="shared" si="65"/>
        <v>528.88222857142853</v>
      </c>
      <c r="E295" s="463">
        <f t="shared" si="65"/>
        <v>441.88222857142853</v>
      </c>
      <c r="F295" s="463">
        <f t="shared" si="71"/>
        <v>387.39142857142855</v>
      </c>
      <c r="G295" s="463">
        <f t="shared" si="66"/>
        <v>373.39142857142855</v>
      </c>
      <c r="H295" s="464">
        <f t="shared" si="66"/>
        <v>68.490799999999993</v>
      </c>
      <c r="I295" s="465">
        <f t="shared" si="72"/>
        <v>73</v>
      </c>
      <c r="J295" s="463">
        <f t="shared" si="67"/>
        <v>14</v>
      </c>
      <c r="K295" s="710">
        <f t="shared" si="73"/>
        <v>0.15499786045124628</v>
      </c>
      <c r="L295" s="586">
        <f t="shared" si="68"/>
        <v>0.42285897927738797</v>
      </c>
      <c r="M295" s="586">
        <f t="shared" si="69"/>
        <v>0.34332307240436466</v>
      </c>
      <c r="N295" s="586">
        <f t="shared" si="70"/>
        <v>6.2975392813374706E-2</v>
      </c>
      <c r="O295" s="1"/>
      <c r="P295" s="470">
        <f t="shared" si="74"/>
        <v>0.42285897927738797</v>
      </c>
    </row>
    <row r="296" spans="1:16" ht="15" customHeight="1" x14ac:dyDescent="0.2">
      <c r="A296" s="35"/>
      <c r="B296" s="449">
        <v>40</v>
      </c>
      <c r="C296" s="463">
        <f t="shared" si="65"/>
        <v>557.16251428571422</v>
      </c>
      <c r="D296" s="463">
        <f t="shared" si="65"/>
        <v>626.16251428571422</v>
      </c>
      <c r="E296" s="463">
        <f t="shared" si="65"/>
        <v>538.16251428571422</v>
      </c>
      <c r="F296" s="463">
        <f t="shared" si="71"/>
        <v>475.20571428571418</v>
      </c>
      <c r="G296" s="463">
        <f t="shared" si="66"/>
        <v>461.20571428571418</v>
      </c>
      <c r="H296" s="464">
        <f t="shared" si="66"/>
        <v>76.956800000000001</v>
      </c>
      <c r="I296" s="465">
        <f t="shared" si="72"/>
        <v>74</v>
      </c>
      <c r="J296" s="463">
        <f t="shared" si="67"/>
        <v>14</v>
      </c>
      <c r="K296" s="710">
        <f t="shared" si="73"/>
        <v>0.14299918325255762</v>
      </c>
      <c r="L296" s="586">
        <f t="shared" si="68"/>
        <v>0.38423071839666695</v>
      </c>
      <c r="M296" s="586">
        <f t="shared" si="69"/>
        <v>0.31804940617844929</v>
      </c>
      <c r="N296" s="586">
        <f t="shared" si="70"/>
        <v>5.3069733924048727E-2</v>
      </c>
      <c r="O296" s="1"/>
      <c r="P296" s="470">
        <f t="shared" si="74"/>
        <v>0.38423071839666695</v>
      </c>
    </row>
    <row r="297" spans="1:16" ht="15" customHeight="1" x14ac:dyDescent="0.2">
      <c r="A297" s="35"/>
      <c r="B297" s="449">
        <v>50</v>
      </c>
      <c r="C297" s="127">
        <f t="shared" si="65"/>
        <v>642.54047142857121</v>
      </c>
      <c r="D297" s="127">
        <f t="shared" si="65"/>
        <v>711.54047142857121</v>
      </c>
      <c r="E297" s="127">
        <f t="shared" si="65"/>
        <v>622.54047142857121</v>
      </c>
      <c r="F297" s="127">
        <f t="shared" si="71"/>
        <v>552.49857142857127</v>
      </c>
      <c r="G297" s="127">
        <f t="shared" si="66"/>
        <v>538.49857142857127</v>
      </c>
      <c r="H297" s="460">
        <f t="shared" si="66"/>
        <v>84.041899999999998</v>
      </c>
      <c r="I297" s="461">
        <f t="shared" si="72"/>
        <v>75</v>
      </c>
      <c r="J297" s="127">
        <f t="shared" si="67"/>
        <v>14</v>
      </c>
      <c r="K297" s="709">
        <f t="shared" si="73"/>
        <v>0.13499829144785611</v>
      </c>
      <c r="L297" s="585">
        <f t="shared" si="68"/>
        <v>0.35448728958722497</v>
      </c>
      <c r="M297" s="585">
        <f t="shared" si="69"/>
        <v>0.29708070922070173</v>
      </c>
      <c r="N297" s="585">
        <f t="shared" si="70"/>
        <v>4.6364519018166142E-2</v>
      </c>
      <c r="O297" s="1"/>
      <c r="P297" s="469">
        <f t="shared" si="74"/>
        <v>0.35448728958722497</v>
      </c>
    </row>
    <row r="298" spans="1:16" ht="15" customHeight="1" x14ac:dyDescent="0.2">
      <c r="A298" s="35"/>
      <c r="B298" s="1"/>
      <c r="C298" s="1"/>
      <c r="D298" s="1"/>
      <c r="E298" s="1"/>
      <c r="F298" s="1"/>
      <c r="G298" s="1"/>
      <c r="H298" s="1"/>
      <c r="I298" s="1"/>
      <c r="J298" s="1"/>
      <c r="K298" s="1"/>
      <c r="L298" s="1"/>
      <c r="M298" s="1"/>
      <c r="N298" s="1"/>
      <c r="O298" s="1"/>
      <c r="P298" s="22"/>
    </row>
    <row r="299" spans="1:16" ht="15" customHeight="1" x14ac:dyDescent="0.2">
      <c r="A299" s="35"/>
      <c r="B299" s="1"/>
      <c r="C299" s="1"/>
      <c r="D299" s="1"/>
      <c r="E299" s="1"/>
      <c r="F299" s="1"/>
      <c r="G299" s="1"/>
      <c r="H299" s="1"/>
      <c r="I299" s="1"/>
      <c r="J299" s="1"/>
      <c r="K299" s="1"/>
      <c r="L299" s="689" t="s">
        <v>526</v>
      </c>
      <c r="M299" s="56" t="s">
        <v>541</v>
      </c>
      <c r="N299" s="1"/>
      <c r="O299" s="1"/>
      <c r="P299" s="22"/>
    </row>
    <row r="300" spans="1:16" ht="15" customHeight="1" x14ac:dyDescent="0.2">
      <c r="A300" s="35"/>
      <c r="B300" s="1"/>
      <c r="C300" s="1"/>
      <c r="D300" s="1"/>
      <c r="E300" s="1"/>
      <c r="F300" s="1"/>
      <c r="G300" s="1"/>
      <c r="H300" s="1"/>
      <c r="I300" s="1"/>
      <c r="J300" s="1"/>
      <c r="K300" s="588"/>
      <c r="M300" s="1"/>
      <c r="N300" s="1"/>
      <c r="O300" s="1"/>
      <c r="P300" s="22"/>
    </row>
    <row r="301" spans="1:16" ht="15" customHeight="1" x14ac:dyDescent="0.2">
      <c r="A301" s="35"/>
      <c r="B301" s="1"/>
      <c r="C301" s="1"/>
      <c r="D301" s="1"/>
      <c r="E301" s="1"/>
      <c r="F301" s="1"/>
      <c r="G301" s="767" t="s">
        <v>539</v>
      </c>
      <c r="H301" s="1"/>
      <c r="J301" s="1"/>
      <c r="K301" s="1"/>
      <c r="L301" s="491" t="s">
        <v>531</v>
      </c>
      <c r="M301" s="280"/>
      <c r="N301" s="1"/>
      <c r="O301" s="1"/>
      <c r="P301" s="22"/>
    </row>
    <row r="302" spans="1:16" ht="15" customHeight="1" x14ac:dyDescent="0.2">
      <c r="A302" s="35"/>
      <c r="B302" s="1"/>
      <c r="C302" s="1"/>
      <c r="D302" s="1"/>
      <c r="E302" s="1"/>
      <c r="F302" s="1"/>
      <c r="H302" s="1"/>
      <c r="I302" s="1"/>
      <c r="J302" s="1"/>
      <c r="K302" s="1"/>
      <c r="L302" s="491" t="s">
        <v>532</v>
      </c>
      <c r="M302" s="1"/>
      <c r="N302" s="1"/>
      <c r="O302" s="1"/>
      <c r="P302" s="22"/>
    </row>
    <row r="303" spans="1:16" ht="15" customHeight="1" x14ac:dyDescent="0.2">
      <c r="A303" s="35"/>
      <c r="B303" s="1"/>
      <c r="C303" s="1"/>
      <c r="D303" s="1"/>
      <c r="E303" s="1"/>
      <c r="F303" s="1"/>
      <c r="G303" s="1"/>
      <c r="H303" s="1"/>
      <c r="I303" s="1"/>
      <c r="J303" s="1"/>
      <c r="K303" s="1"/>
      <c r="L303" s="491" t="s">
        <v>533</v>
      </c>
      <c r="M303" s="1"/>
      <c r="N303" s="1"/>
      <c r="O303" s="1"/>
      <c r="P303" s="22"/>
    </row>
    <row r="304" spans="1:16" ht="15" customHeight="1" x14ac:dyDescent="0.2">
      <c r="A304" s="35"/>
      <c r="B304" s="1"/>
      <c r="C304" s="1"/>
      <c r="D304" s="1"/>
      <c r="E304" s="1"/>
      <c r="F304" s="1"/>
      <c r="G304" s="1"/>
      <c r="H304" s="1"/>
      <c r="I304" s="1"/>
      <c r="J304" s="1"/>
      <c r="K304" s="1"/>
      <c r="L304" s="491" t="s">
        <v>534</v>
      </c>
      <c r="M304" s="1"/>
      <c r="N304" s="1"/>
      <c r="O304" s="1"/>
      <c r="P304" s="22"/>
    </row>
    <row r="305" spans="1:16" ht="15" customHeight="1" x14ac:dyDescent="0.2">
      <c r="A305" s="35"/>
      <c r="B305" s="1"/>
      <c r="C305" s="1"/>
      <c r="D305" s="1"/>
      <c r="E305" s="1"/>
      <c r="F305" s="1"/>
      <c r="G305" s="1"/>
      <c r="H305" s="1"/>
      <c r="I305" s="1"/>
      <c r="J305" s="1"/>
      <c r="K305" s="1"/>
      <c r="L305" s="491" t="s">
        <v>535</v>
      </c>
      <c r="M305" s="1"/>
      <c r="N305" s="1"/>
      <c r="O305" s="1"/>
      <c r="P305" s="22"/>
    </row>
    <row r="306" spans="1:16" ht="15" customHeight="1" x14ac:dyDescent="0.2">
      <c r="A306" s="35"/>
      <c r="B306" s="1"/>
      <c r="C306" s="1"/>
      <c r="D306" s="1"/>
      <c r="E306" s="1"/>
      <c r="F306" s="1"/>
      <c r="G306" s="1"/>
      <c r="H306" s="1"/>
      <c r="I306" s="1"/>
      <c r="J306" s="1"/>
      <c r="K306" s="1"/>
      <c r="L306" s="491" t="s">
        <v>584</v>
      </c>
      <c r="M306" s="1"/>
      <c r="N306" s="1"/>
      <c r="O306" s="1"/>
      <c r="P306" s="22"/>
    </row>
    <row r="307" spans="1:16" ht="15" customHeight="1" x14ac:dyDescent="0.2">
      <c r="A307" s="35"/>
      <c r="B307" s="1"/>
      <c r="C307" s="1"/>
      <c r="D307" s="1"/>
      <c r="E307" s="1"/>
      <c r="F307" s="1"/>
      <c r="G307" s="1"/>
      <c r="H307" s="1"/>
      <c r="I307" s="1"/>
      <c r="J307" s="1"/>
      <c r="K307" s="1"/>
      <c r="L307" s="491" t="s">
        <v>538</v>
      </c>
      <c r="M307" s="1"/>
      <c r="N307" s="1"/>
      <c r="O307" s="1"/>
      <c r="P307" s="22"/>
    </row>
    <row r="308" spans="1:16" ht="15" customHeight="1" x14ac:dyDescent="0.2">
      <c r="A308" s="35"/>
      <c r="B308" s="1"/>
      <c r="C308" s="1"/>
      <c r="D308" s="1"/>
      <c r="E308" s="1"/>
      <c r="F308" s="1"/>
      <c r="G308" s="1"/>
      <c r="H308" s="1"/>
      <c r="I308" s="1"/>
      <c r="J308" s="1"/>
      <c r="K308" s="1"/>
      <c r="L308" s="491"/>
      <c r="M308" s="1"/>
      <c r="N308" s="1"/>
      <c r="O308" s="1"/>
      <c r="P308" s="22"/>
    </row>
    <row r="309" spans="1:16" ht="15" customHeight="1" x14ac:dyDescent="0.2">
      <c r="A309" s="35"/>
      <c r="B309" s="1"/>
      <c r="C309" s="1"/>
      <c r="D309" s="1"/>
      <c r="E309" s="1"/>
      <c r="F309" s="1"/>
      <c r="G309" s="1"/>
      <c r="H309" s="1"/>
      <c r="I309" s="1"/>
      <c r="J309" s="1"/>
      <c r="K309" s="1"/>
      <c r="L309" s="491"/>
      <c r="M309" s="1"/>
      <c r="N309" s="1"/>
      <c r="O309" s="1"/>
      <c r="P309" s="22"/>
    </row>
    <row r="310" spans="1:16" ht="15" customHeight="1" x14ac:dyDescent="0.2">
      <c r="A310" s="36"/>
      <c r="B310" s="24"/>
      <c r="C310" s="24"/>
      <c r="D310" s="24"/>
      <c r="E310" s="24"/>
      <c r="F310" s="24"/>
      <c r="G310" s="24"/>
      <c r="H310" s="24"/>
      <c r="I310" s="24"/>
      <c r="J310" s="24"/>
      <c r="K310" s="24"/>
      <c r="L310" s="24"/>
      <c r="M310" s="24"/>
      <c r="N310" s="24"/>
      <c r="O310" s="24"/>
      <c r="P310" s="17"/>
    </row>
    <row r="311" spans="1:16" ht="15" customHeight="1" x14ac:dyDescent="0.2"/>
    <row r="312" spans="1:16" ht="15" customHeight="1" x14ac:dyDescent="0.2"/>
    <row r="313" spans="1:16" ht="15" customHeight="1" x14ac:dyDescent="0.2"/>
    <row r="314" spans="1:16" ht="15" customHeight="1" x14ac:dyDescent="0.2"/>
    <row r="315" spans="1:16" ht="15" customHeight="1" x14ac:dyDescent="0.2"/>
    <row r="316" spans="1:16" ht="15" customHeight="1" x14ac:dyDescent="0.2"/>
    <row r="317" spans="1:16" ht="15" customHeight="1" x14ac:dyDescent="0.2"/>
    <row r="318" spans="1:16" ht="15" customHeight="1" x14ac:dyDescent="0.2"/>
    <row r="319" spans="1:16" ht="15" customHeight="1" x14ac:dyDescent="0.2"/>
    <row r="320" spans="1:16"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row>
    <row r="327" spans="1:21" ht="15" customHeight="1" x14ac:dyDescent="0.2"/>
    <row r="328" spans="1:21" ht="15" customHeight="1" x14ac:dyDescent="0.2"/>
    <row r="329" spans="1:21" ht="15" customHeight="1" x14ac:dyDescent="0.2"/>
    <row r="330" spans="1:21" ht="15" customHeight="1" x14ac:dyDescent="0.2"/>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sheetData>
  <pageMargins left="0.45" right="0.45" top="0.5" bottom="0.5" header="0.3" footer="0.3"/>
  <pageSetup scale="7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transitionEntry="1" codeName="Sheet11">
    <tabColor theme="6" tint="0.39997558519241921"/>
    <pageSetUpPr fitToPage="1"/>
  </sheetPr>
  <dimension ref="A1:AC400"/>
  <sheetViews>
    <sheetView showGridLines="0" zoomScale="80" zoomScaleNormal="8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29" ht="15" customHeight="1" x14ac:dyDescent="0.2">
      <c r="K1" t="s">
        <v>26</v>
      </c>
      <c r="P1" s="28" t="s">
        <v>362</v>
      </c>
    </row>
    <row r="2" spans="1:29" ht="15" customHeight="1" x14ac:dyDescent="0.2">
      <c r="A2" s="343" t="s">
        <v>306</v>
      </c>
      <c r="B2" s="331" t="s">
        <v>185</v>
      </c>
      <c r="C2" s="332"/>
      <c r="D2" s="332"/>
      <c r="E2" s="332"/>
      <c r="F2" s="332"/>
    </row>
    <row r="3" spans="1:29" ht="15" customHeight="1" x14ac:dyDescent="0.2">
      <c r="A3" s="348" t="s">
        <v>384</v>
      </c>
      <c r="B3" s="348" t="s">
        <v>385</v>
      </c>
      <c r="C3" s="332"/>
      <c r="D3" s="332"/>
      <c r="E3" s="332"/>
      <c r="F3" s="332"/>
    </row>
    <row r="4" spans="1:29" ht="15" customHeight="1" x14ac:dyDescent="0.2">
      <c r="A4" s="332"/>
      <c r="B4" s="348"/>
      <c r="C4" s="332"/>
      <c r="D4" s="332"/>
      <c r="E4" s="332"/>
      <c r="F4" s="332"/>
      <c r="G4" s="332"/>
    </row>
    <row r="5" spans="1:29" ht="15" customHeight="1" x14ac:dyDescent="0.2">
      <c r="A5" s="332" t="s">
        <v>335</v>
      </c>
      <c r="B5" s="331" t="s">
        <v>186</v>
      </c>
      <c r="C5" s="332"/>
      <c r="D5" s="332"/>
      <c r="E5" s="332"/>
      <c r="F5" s="332"/>
      <c r="G5" s="332"/>
    </row>
    <row r="6" spans="1:29" ht="15" customHeight="1" x14ac:dyDescent="0.2">
      <c r="A6" s="332" t="s">
        <v>335</v>
      </c>
      <c r="B6" s="331" t="s">
        <v>386</v>
      </c>
      <c r="C6" s="332"/>
      <c r="D6" s="332"/>
      <c r="E6" s="332"/>
      <c r="F6" s="332"/>
    </row>
    <row r="7" spans="1:29" ht="15" customHeight="1" x14ac:dyDescent="0.2">
      <c r="A7" s="332"/>
      <c r="B7" s="332"/>
      <c r="C7" s="332"/>
      <c r="D7" s="332"/>
      <c r="E7" s="332"/>
      <c r="F7" s="332"/>
      <c r="P7" s="516" t="s">
        <v>106</v>
      </c>
      <c r="Q7" s="515" t="s">
        <v>107</v>
      </c>
    </row>
    <row r="8" spans="1:29" ht="15" customHeight="1" thickBot="1" x14ac:dyDescent="0.25">
      <c r="B8" s="471" t="s">
        <v>4</v>
      </c>
      <c r="C8" s="472"/>
      <c r="D8" s="472"/>
      <c r="E8" s="7"/>
      <c r="F8" s="7"/>
      <c r="G8" s="7"/>
      <c r="H8" s="7"/>
      <c r="I8" s="7"/>
      <c r="J8" s="7"/>
      <c r="K8" s="7"/>
      <c r="L8" s="8"/>
      <c r="O8" s="212" t="s">
        <v>108</v>
      </c>
      <c r="P8" s="517">
        <v>77</v>
      </c>
      <c r="Q8">
        <v>73</v>
      </c>
      <c r="Y8" s="349"/>
      <c r="Z8" s="349"/>
      <c r="AA8" s="349"/>
      <c r="AB8" s="349"/>
      <c r="AC8" s="349"/>
    </row>
    <row r="9" spans="1:29" ht="15" customHeight="1" x14ac:dyDescent="0.2">
      <c r="A9" t="s">
        <v>182</v>
      </c>
      <c r="B9" s="473" t="s">
        <v>317</v>
      </c>
      <c r="C9" s="474"/>
      <c r="D9" s="475"/>
      <c r="E9" s="158"/>
      <c r="F9" s="158"/>
      <c r="G9" s="158"/>
      <c r="H9" s="158"/>
      <c r="I9" s="158"/>
      <c r="J9" s="158"/>
      <c r="K9" s="158"/>
      <c r="L9" s="158"/>
      <c r="O9" s="212" t="s">
        <v>110</v>
      </c>
      <c r="P9" s="518">
        <v>73</v>
      </c>
      <c r="Q9" s="213">
        <v>69</v>
      </c>
      <c r="Y9" s="349"/>
      <c r="Z9" s="349"/>
      <c r="AA9" s="349"/>
      <c r="AB9" s="349"/>
      <c r="AC9" s="349"/>
    </row>
    <row r="10" spans="1:29" ht="15" customHeight="1" x14ac:dyDescent="0.2">
      <c r="A10" t="s">
        <v>182</v>
      </c>
      <c r="B10" s="476" t="s">
        <v>318</v>
      </c>
      <c r="C10" s="440"/>
      <c r="D10" s="477"/>
      <c r="E10" s="158" t="s">
        <v>305</v>
      </c>
      <c r="F10" s="158"/>
      <c r="G10" s="158"/>
      <c r="H10" s="158"/>
      <c r="I10" s="158"/>
      <c r="J10" s="158"/>
      <c r="K10" s="158"/>
      <c r="L10" s="158"/>
      <c r="O10" s="211" t="s">
        <v>109</v>
      </c>
      <c r="P10" s="517">
        <f>P8-P9</f>
        <v>4</v>
      </c>
      <c r="Q10">
        <f>Q8-Q9</f>
        <v>4</v>
      </c>
      <c r="Y10" s="349"/>
      <c r="Z10" s="349"/>
      <c r="AA10" s="349"/>
      <c r="AB10" s="349"/>
      <c r="AC10" s="349"/>
    </row>
    <row r="11" spans="1:29" ht="15" customHeight="1" x14ac:dyDescent="0.2">
      <c r="A11" t="s">
        <v>182</v>
      </c>
      <c r="B11" s="476" t="s">
        <v>319</v>
      </c>
      <c r="C11" s="440"/>
      <c r="D11" s="477"/>
      <c r="E11" s="158"/>
      <c r="F11" s="158"/>
      <c r="G11" s="158"/>
      <c r="H11" s="158"/>
      <c r="I11" s="158"/>
      <c r="J11" s="158"/>
      <c r="K11" s="158"/>
      <c r="L11" s="158"/>
      <c r="Y11" s="349"/>
      <c r="Z11" s="349"/>
      <c r="AA11" s="349"/>
      <c r="AB11" s="349"/>
      <c r="AC11" s="349"/>
    </row>
    <row r="12" spans="1:29" ht="15" customHeight="1" x14ac:dyDescent="0.2">
      <c r="A12" t="s">
        <v>182</v>
      </c>
      <c r="B12" s="476" t="s">
        <v>106</v>
      </c>
      <c r="C12" s="440"/>
      <c r="D12" s="478" t="s">
        <v>333</v>
      </c>
      <c r="E12" s="519" t="s">
        <v>387</v>
      </c>
      <c r="F12" s="158"/>
      <c r="G12" s="158"/>
      <c r="H12" s="158"/>
      <c r="I12" s="158"/>
      <c r="J12" s="158"/>
      <c r="K12" s="158"/>
      <c r="L12" s="158"/>
      <c r="M12" s="41"/>
      <c r="Y12" s="349"/>
      <c r="Z12" s="349"/>
      <c r="AA12" s="349"/>
      <c r="AB12" s="349"/>
      <c r="AC12" s="349"/>
    </row>
    <row r="13" spans="1:29" ht="15" customHeight="1" thickBot="1" x14ac:dyDescent="0.25">
      <c r="A13" t="s">
        <v>182</v>
      </c>
      <c r="B13" s="479" t="s">
        <v>112</v>
      </c>
      <c r="C13" s="480" t="s">
        <v>323</v>
      </c>
      <c r="D13" s="481" t="s">
        <v>304</v>
      </c>
      <c r="E13" s="158" t="s">
        <v>276</v>
      </c>
      <c r="F13" s="158"/>
      <c r="G13" s="158"/>
      <c r="H13" s="158"/>
      <c r="I13" s="158"/>
      <c r="J13" s="158"/>
      <c r="K13" s="158"/>
      <c r="L13" s="158"/>
      <c r="M13" s="41"/>
      <c r="U13" s="90" t="s">
        <v>305</v>
      </c>
      <c r="Y13" s="349"/>
      <c r="Z13" s="349"/>
      <c r="AA13" s="349"/>
      <c r="AB13" s="349"/>
      <c r="AC13" s="349"/>
    </row>
    <row r="14" spans="1:29" ht="15" customHeight="1" thickBot="1" x14ac:dyDescent="0.25">
      <c r="A14" s="41"/>
      <c r="B14" s="209" t="s">
        <v>332</v>
      </c>
      <c r="C14" s="40"/>
      <c r="D14" s="40"/>
      <c r="E14" s="40"/>
      <c r="F14" s="40"/>
      <c r="G14" s="40"/>
      <c r="H14" s="40"/>
      <c r="I14" s="40"/>
      <c r="J14" s="40"/>
      <c r="K14" s="40"/>
      <c r="L14" s="40"/>
      <c r="M14" s="41"/>
      <c r="Y14" s="349"/>
      <c r="Z14" s="349"/>
      <c r="AA14" s="349"/>
      <c r="AB14" s="349"/>
      <c r="AC14" s="349"/>
    </row>
    <row r="15" spans="1:29" ht="15" customHeight="1" thickBot="1" x14ac:dyDescent="0.3">
      <c r="A15" s="41"/>
      <c r="B15" s="209" t="s">
        <v>371</v>
      </c>
      <c r="C15" s="40"/>
      <c r="D15" s="40"/>
      <c r="E15" s="40"/>
      <c r="F15" s="575" t="s">
        <v>424</v>
      </c>
      <c r="G15" s="576"/>
      <c r="H15" s="576"/>
      <c r="I15" s="576"/>
      <c r="J15" s="576"/>
      <c r="K15" s="577"/>
      <c r="L15" s="559" t="s">
        <v>425</v>
      </c>
      <c r="M15" s="41"/>
      <c r="U15" s="331" t="s">
        <v>294</v>
      </c>
      <c r="V15" s="332" t="s">
        <v>204</v>
      </c>
      <c r="W15" s="332"/>
      <c r="X15" s="349"/>
      <c r="Y15" s="349"/>
      <c r="Z15" s="349"/>
      <c r="AA15" s="349"/>
      <c r="AB15" s="349"/>
      <c r="AC15" s="349"/>
    </row>
    <row r="16" spans="1:29" ht="15" customHeight="1" x14ac:dyDescent="0.2">
      <c r="A16" s="768" t="s">
        <v>495</v>
      </c>
      <c r="B16" s="209"/>
      <c r="C16" s="40"/>
      <c r="D16" s="40"/>
      <c r="E16" s="40"/>
      <c r="F16" s="40"/>
      <c r="G16" s="40"/>
      <c r="H16" s="40"/>
      <c r="I16" s="40"/>
      <c r="J16" s="40"/>
      <c r="K16" s="40"/>
      <c r="L16" s="40"/>
      <c r="M16" s="41"/>
      <c r="U16" s="105" t="s">
        <v>44</v>
      </c>
      <c r="V16" s="332" t="s">
        <v>205</v>
      </c>
      <c r="W16" s="332"/>
      <c r="X16" s="349"/>
      <c r="Y16" s="349"/>
      <c r="Z16" s="349"/>
      <c r="AA16" s="349"/>
      <c r="AB16" s="349"/>
      <c r="AC16" s="349"/>
    </row>
    <row r="17" spans="1:29" ht="15" customHeight="1" x14ac:dyDescent="0.2">
      <c r="A17" s="41"/>
      <c r="B17" s="329"/>
      <c r="M17" s="41"/>
      <c r="U17" s="105" t="s">
        <v>45</v>
      </c>
      <c r="V17" s="343" t="s">
        <v>223</v>
      </c>
      <c r="W17" s="332"/>
      <c r="X17" s="349"/>
      <c r="Y17" s="349"/>
      <c r="Z17" s="349"/>
      <c r="AA17" s="349"/>
      <c r="AB17" s="349"/>
      <c r="AC17" s="349"/>
    </row>
    <row r="18" spans="1:29" ht="15" customHeight="1" x14ac:dyDescent="0.2">
      <c r="A18" s="41"/>
      <c r="B18" s="357" t="s">
        <v>375</v>
      </c>
      <c r="C18" s="40"/>
      <c r="D18" s="40"/>
      <c r="E18" s="40"/>
      <c r="F18" s="40"/>
      <c r="G18" s="40"/>
      <c r="H18" s="40"/>
      <c r="I18" s="40"/>
      <c r="J18" s="40"/>
      <c r="K18" s="40"/>
      <c r="L18" s="40"/>
      <c r="M18" s="41"/>
      <c r="U18" s="105" t="s">
        <v>48</v>
      </c>
      <c r="V18" s="343" t="s">
        <v>217</v>
      </c>
      <c r="W18" s="332"/>
      <c r="X18" s="349"/>
      <c r="Y18" s="349"/>
      <c r="Z18" s="349"/>
      <c r="AA18" s="349"/>
      <c r="AB18" s="349"/>
      <c r="AC18" s="349"/>
    </row>
    <row r="19" spans="1:29" ht="15" customHeight="1" x14ac:dyDescent="0.2">
      <c r="A19" s="41"/>
      <c r="B19" s="336" t="s">
        <v>315</v>
      </c>
      <c r="C19" s="415">
        <v>8</v>
      </c>
      <c r="D19" s="520" t="s">
        <v>388</v>
      </c>
      <c r="E19" s="9"/>
      <c r="F19" s="341"/>
      <c r="G19" s="40"/>
      <c r="H19" s="40"/>
      <c r="I19" s="40"/>
      <c r="J19" s="40"/>
      <c r="K19" s="40"/>
      <c r="L19" s="40"/>
      <c r="M19" s="41"/>
      <c r="U19" s="105" t="s">
        <v>75</v>
      </c>
      <c r="V19" s="343" t="s">
        <v>214</v>
      </c>
      <c r="W19" s="332"/>
      <c r="X19" s="349"/>
      <c r="Y19" s="349"/>
      <c r="Z19" s="349"/>
      <c r="AA19" s="349"/>
      <c r="AB19" s="349"/>
      <c r="AC19" s="349"/>
    </row>
    <row r="20" spans="1:29" ht="15" customHeight="1" x14ac:dyDescent="0.2">
      <c r="A20" s="41"/>
      <c r="B20" s="338"/>
      <c r="C20" s="335" t="str">
        <f>L299</f>
        <v xml:space="preserve">C-ZETA CURVE NAME   (create manually) </v>
      </c>
      <c r="D20" s="40" t="str">
        <f>M299</f>
        <v xml:space="preserve"> 129_73_35_b</v>
      </c>
      <c r="E20" s="40"/>
      <c r="F20" s="520" t="s">
        <v>389</v>
      </c>
      <c r="G20" s="40"/>
      <c r="H20" s="40"/>
      <c r="I20" s="40"/>
      <c r="J20" s="40"/>
      <c r="K20" s="40"/>
      <c r="L20" s="40"/>
      <c r="M20" s="41"/>
      <c r="U20" s="105" t="s">
        <v>80</v>
      </c>
      <c r="V20" s="343" t="s">
        <v>293</v>
      </c>
      <c r="W20" s="332"/>
      <c r="X20" s="349"/>
      <c r="Y20" s="349"/>
      <c r="Z20" s="349"/>
      <c r="AA20" s="349"/>
      <c r="AB20" s="349"/>
      <c r="AC20" s="349"/>
    </row>
    <row r="21" spans="1:29" ht="15" customHeight="1" x14ac:dyDescent="0.2">
      <c r="B21" s="340" t="s">
        <v>473</v>
      </c>
      <c r="C21" s="24"/>
      <c r="D21" s="24"/>
      <c r="E21" s="24"/>
      <c r="F21" s="17"/>
      <c r="U21" s="105"/>
      <c r="V21" s="343" t="s">
        <v>224</v>
      </c>
      <c r="W21" s="332"/>
      <c r="X21" s="349"/>
      <c r="Y21" s="349"/>
      <c r="Z21" s="349"/>
      <c r="AA21" s="349"/>
      <c r="AB21" s="349"/>
      <c r="AC21" s="349"/>
    </row>
    <row r="22" spans="1:29" ht="15" customHeight="1" x14ac:dyDescent="0.2">
      <c r="A22" s="90" t="s">
        <v>44</v>
      </c>
      <c r="B22" s="64" t="s">
        <v>62</v>
      </c>
      <c r="U22" s="105"/>
      <c r="V22" s="332" t="s">
        <v>208</v>
      </c>
      <c r="W22" s="332"/>
      <c r="X22" s="349"/>
      <c r="Y22" s="349"/>
      <c r="Z22" s="349"/>
      <c r="AA22" s="349"/>
      <c r="AB22" s="349"/>
      <c r="AC22" s="349"/>
    </row>
    <row r="23" spans="1:29" ht="15" customHeight="1" x14ac:dyDescent="0.2">
      <c r="U23" s="105" t="s">
        <v>82</v>
      </c>
      <c r="V23" s="332" t="s">
        <v>209</v>
      </c>
      <c r="W23" s="332"/>
      <c r="X23" s="349"/>
      <c r="Y23" s="349"/>
      <c r="Z23" s="349"/>
      <c r="AA23" s="349"/>
      <c r="AB23" s="349"/>
      <c r="AC23" s="349"/>
    </row>
    <row r="24" spans="1:29" ht="15" customHeight="1" x14ac:dyDescent="0.2">
      <c r="B24" s="28" t="s">
        <v>63</v>
      </c>
      <c r="U24" s="105" t="s">
        <v>85</v>
      </c>
      <c r="V24" s="332" t="s">
        <v>210</v>
      </c>
      <c r="W24" s="332"/>
      <c r="X24" s="349"/>
      <c r="Y24" s="349"/>
      <c r="Z24" s="349"/>
      <c r="AA24" s="349"/>
      <c r="AB24" s="349"/>
      <c r="AC24" s="349"/>
    </row>
    <row r="25" spans="1:29" ht="15" customHeight="1" x14ac:dyDescent="0.2">
      <c r="B25" s="28" t="s">
        <v>127</v>
      </c>
      <c r="U25" s="105" t="s">
        <v>95</v>
      </c>
      <c r="V25" s="343" t="s">
        <v>211</v>
      </c>
      <c r="W25" s="332"/>
      <c r="X25" s="349"/>
      <c r="Y25" s="349"/>
      <c r="Z25" s="349"/>
      <c r="AA25" s="349"/>
      <c r="AB25" s="349"/>
      <c r="AC25" s="349"/>
    </row>
    <row r="26" spans="1:29" ht="15" customHeight="1" x14ac:dyDescent="0.2">
      <c r="I26" s="1"/>
      <c r="J26" s="1"/>
      <c r="U26" s="105" t="s">
        <v>98</v>
      </c>
      <c r="V26" s="343" t="s">
        <v>212</v>
      </c>
      <c r="W26" s="332"/>
      <c r="X26" s="349"/>
    </row>
    <row r="27" spans="1:29" ht="15" customHeight="1" x14ac:dyDescent="0.2">
      <c r="B27" s="67"/>
      <c r="C27" s="396" t="s">
        <v>28</v>
      </c>
      <c r="D27" s="396" t="s">
        <v>28</v>
      </c>
      <c r="E27" s="400" t="s">
        <v>28</v>
      </c>
      <c r="G27" s="382" t="s">
        <v>125</v>
      </c>
      <c r="I27" s="1"/>
      <c r="J27" s="1"/>
      <c r="U27" s="105"/>
      <c r="V27" s="332"/>
      <c r="W27" s="332"/>
      <c r="X27" s="349"/>
    </row>
    <row r="28" spans="1:29" ht="15" customHeight="1" x14ac:dyDescent="0.2">
      <c r="B28" s="67"/>
      <c r="C28" s="388" t="s">
        <v>260</v>
      </c>
      <c r="D28" s="388" t="s">
        <v>261</v>
      </c>
      <c r="E28" s="388" t="s">
        <v>31</v>
      </c>
      <c r="G28" s="383" t="s">
        <v>34</v>
      </c>
      <c r="U28" s="343" t="s">
        <v>226</v>
      </c>
      <c r="V28" s="332"/>
      <c r="W28" s="332"/>
      <c r="X28" s="349"/>
    </row>
    <row r="29" spans="1:29" ht="15" customHeight="1" x14ac:dyDescent="0.2">
      <c r="B29" s="68" t="s">
        <v>21</v>
      </c>
      <c r="C29" s="397" t="s">
        <v>29</v>
      </c>
      <c r="D29" s="397" t="s">
        <v>30</v>
      </c>
      <c r="E29" s="395" t="s">
        <v>74</v>
      </c>
      <c r="G29" s="383" t="s">
        <v>35</v>
      </c>
      <c r="U29" s="343" t="s">
        <v>295</v>
      </c>
      <c r="V29" s="332"/>
      <c r="W29" s="332"/>
      <c r="X29" s="349"/>
    </row>
    <row r="30" spans="1:29" ht="15" customHeight="1" x14ac:dyDescent="0.2">
      <c r="B30" s="68">
        <v>1</v>
      </c>
      <c r="C30" s="398">
        <v>2</v>
      </c>
      <c r="D30" s="398">
        <v>0.75</v>
      </c>
      <c r="E30" s="389">
        <f>SUM(C30:D30)/2</f>
        <v>1.375</v>
      </c>
      <c r="G30" s="384">
        <v>0.8</v>
      </c>
      <c r="I30" s="28" t="s">
        <v>393</v>
      </c>
      <c r="U30" s="350"/>
      <c r="V30" s="349"/>
      <c r="W30" s="349"/>
      <c r="X30" s="349"/>
    </row>
    <row r="31" spans="1:29" ht="15" customHeight="1" x14ac:dyDescent="0.2">
      <c r="B31" s="68">
        <v>2</v>
      </c>
      <c r="C31" s="398">
        <v>4</v>
      </c>
      <c r="D31" s="398">
        <v>2</v>
      </c>
      <c r="E31" s="389">
        <f t="shared" ref="E31:E39" si="0">SUM(C31:D31)/2</f>
        <v>3</v>
      </c>
      <c r="G31" s="385">
        <v>2.5</v>
      </c>
      <c r="I31" s="28" t="s">
        <v>394</v>
      </c>
      <c r="U31" s="350"/>
      <c r="V31" s="349"/>
      <c r="W31" s="349"/>
      <c r="X31" s="349"/>
    </row>
    <row r="32" spans="1:29" ht="15" customHeight="1" x14ac:dyDescent="0.2">
      <c r="B32" s="68">
        <v>3</v>
      </c>
      <c r="C32" s="398">
        <v>5.8</v>
      </c>
      <c r="D32" s="398">
        <v>3.3</v>
      </c>
      <c r="E32" s="389">
        <f t="shared" si="0"/>
        <v>4.55</v>
      </c>
      <c r="G32" s="386">
        <v>4.8</v>
      </c>
    </row>
    <row r="33" spans="1:8" ht="15" customHeight="1" x14ac:dyDescent="0.2">
      <c r="B33" s="68">
        <v>4</v>
      </c>
      <c r="C33" s="398">
        <v>7.51</v>
      </c>
      <c r="D33" s="398">
        <v>4.7</v>
      </c>
      <c r="E33" s="389">
        <f t="shared" si="0"/>
        <v>6.1050000000000004</v>
      </c>
      <c r="G33" s="386">
        <v>7.4</v>
      </c>
    </row>
    <row r="34" spans="1:8" ht="15" customHeight="1" x14ac:dyDescent="0.2">
      <c r="B34" s="68">
        <v>5</v>
      </c>
      <c r="C34" s="398">
        <v>9</v>
      </c>
      <c r="D34" s="398">
        <v>5.9</v>
      </c>
      <c r="E34" s="389">
        <f t="shared" si="0"/>
        <v>7.45</v>
      </c>
      <c r="G34" s="385">
        <v>9.8000000000000007</v>
      </c>
    </row>
    <row r="35" spans="1:8" ht="15" customHeight="1" x14ac:dyDescent="0.2">
      <c r="B35" s="68">
        <v>10</v>
      </c>
      <c r="C35" s="398">
        <v>11.51</v>
      </c>
      <c r="D35" s="398">
        <v>10</v>
      </c>
      <c r="E35" s="389">
        <f t="shared" si="0"/>
        <v>10.754999999999999</v>
      </c>
      <c r="G35" s="386">
        <v>20.6</v>
      </c>
    </row>
    <row r="36" spans="1:8" ht="15" customHeight="1" x14ac:dyDescent="0.2">
      <c r="B36" s="68">
        <v>20</v>
      </c>
      <c r="C36" s="398">
        <v>13</v>
      </c>
      <c r="D36" s="398">
        <v>13</v>
      </c>
      <c r="E36" s="389">
        <f t="shared" si="0"/>
        <v>13</v>
      </c>
      <c r="G36" s="386">
        <v>36.4</v>
      </c>
    </row>
    <row r="37" spans="1:8" ht="15" customHeight="1" x14ac:dyDescent="0.2">
      <c r="B37" s="68">
        <v>30</v>
      </c>
      <c r="C37" s="398">
        <v>13</v>
      </c>
      <c r="D37" s="398">
        <v>13</v>
      </c>
      <c r="E37" s="389">
        <f t="shared" si="0"/>
        <v>13</v>
      </c>
      <c r="G37" s="386">
        <v>50</v>
      </c>
    </row>
    <row r="38" spans="1:8" ht="15" customHeight="1" x14ac:dyDescent="0.2">
      <c r="B38" s="68">
        <v>40</v>
      </c>
      <c r="C38" s="398">
        <v>13</v>
      </c>
      <c r="D38" s="398">
        <v>13</v>
      </c>
      <c r="E38" s="389">
        <f t="shared" si="0"/>
        <v>13</v>
      </c>
      <c r="G38" s="386">
        <v>63.3</v>
      </c>
      <c r="H38" s="1"/>
    </row>
    <row r="39" spans="1:8" ht="15" customHeight="1" x14ac:dyDescent="0.2">
      <c r="B39" s="68">
        <v>50</v>
      </c>
      <c r="C39" s="399">
        <v>13</v>
      </c>
      <c r="D39" s="399">
        <v>13</v>
      </c>
      <c r="E39" s="390">
        <f t="shared" si="0"/>
        <v>13</v>
      </c>
      <c r="G39" s="387">
        <v>74.7</v>
      </c>
    </row>
    <row r="40" spans="1:8" ht="15" customHeight="1" x14ac:dyDescent="0.2"/>
    <row r="41" spans="1:8" ht="15" customHeight="1" x14ac:dyDescent="0.2"/>
    <row r="42" spans="1:8" ht="15" customHeight="1" x14ac:dyDescent="0.2"/>
    <row r="43" spans="1:8" ht="15" customHeight="1" x14ac:dyDescent="0.2"/>
    <row r="44" spans="1:8" ht="15" customHeight="1" x14ac:dyDescent="0.2"/>
    <row r="45" spans="1:8" ht="15" customHeight="1" x14ac:dyDescent="0.2"/>
    <row r="46" spans="1:8" ht="15" customHeight="1" x14ac:dyDescent="0.2"/>
    <row r="47" spans="1:8" ht="15" customHeight="1" x14ac:dyDescent="0.2"/>
    <row r="48" spans="1:8" ht="15" customHeight="1" x14ac:dyDescent="0.2">
      <c r="A48" s="64" t="s">
        <v>465</v>
      </c>
      <c r="B48" s="64" t="s">
        <v>466</v>
      </c>
      <c r="E48" s="28" t="s">
        <v>542</v>
      </c>
    </row>
    <row r="49" spans="1:11" ht="15" customHeight="1" x14ac:dyDescent="0.2">
      <c r="A49" s="64"/>
      <c r="E49" s="28"/>
    </row>
    <row r="50" spans="1:11" ht="15" customHeight="1" x14ac:dyDescent="0.2">
      <c r="A50" s="64"/>
      <c r="B50" s="824" t="s">
        <v>557</v>
      </c>
      <c r="C50" s="825"/>
      <c r="D50" s="825"/>
      <c r="E50" s="826"/>
      <c r="F50" s="825"/>
      <c r="G50" s="825"/>
      <c r="H50" s="825"/>
      <c r="I50" s="538"/>
    </row>
    <row r="51" spans="1:11" ht="15" customHeight="1" x14ac:dyDescent="0.2">
      <c r="A51" s="64"/>
      <c r="B51" s="274"/>
      <c r="C51" s="816" t="s">
        <v>550</v>
      </c>
      <c r="D51" s="2"/>
      <c r="E51" s="2"/>
      <c r="F51" s="816" t="s">
        <v>553</v>
      </c>
      <c r="G51" s="2"/>
      <c r="H51" s="2"/>
      <c r="I51" s="817" t="s">
        <v>556</v>
      </c>
    </row>
    <row r="52" spans="1:11" ht="15" customHeight="1" x14ac:dyDescent="0.2">
      <c r="A52" s="64"/>
      <c r="B52" s="274"/>
      <c r="C52" s="2"/>
      <c r="D52" s="816" t="s">
        <v>551</v>
      </c>
      <c r="E52" s="2"/>
      <c r="F52" s="818"/>
      <c r="G52" s="816" t="s">
        <v>554</v>
      </c>
      <c r="H52" s="818"/>
      <c r="I52" s="13"/>
    </row>
    <row r="53" spans="1:11" ht="15" customHeight="1" x14ac:dyDescent="0.2">
      <c r="A53" s="64"/>
      <c r="B53" s="274"/>
      <c r="C53" s="818"/>
      <c r="D53" s="2"/>
      <c r="E53" s="819" t="s">
        <v>552</v>
      </c>
      <c r="F53" s="2"/>
      <c r="G53" s="816"/>
      <c r="H53" s="816" t="s">
        <v>555</v>
      </c>
      <c r="I53" s="820"/>
    </row>
    <row r="54" spans="1:11" ht="15" customHeight="1" x14ac:dyDescent="0.2">
      <c r="B54" s="35"/>
      <c r="C54" s="1"/>
      <c r="D54" s="1"/>
      <c r="E54" s="1"/>
      <c r="F54" s="1"/>
      <c r="G54" s="1"/>
      <c r="H54" s="1"/>
      <c r="I54" s="22"/>
      <c r="K54" s="28"/>
    </row>
    <row r="55" spans="1:11" ht="15" customHeight="1" x14ac:dyDescent="0.2">
      <c r="B55" s="821"/>
      <c r="C55" s="396" t="s">
        <v>28</v>
      </c>
      <c r="D55" s="396" t="s">
        <v>28</v>
      </c>
      <c r="E55" s="396" t="s">
        <v>28</v>
      </c>
      <c r="F55" s="396" t="s">
        <v>28</v>
      </c>
      <c r="G55" s="396" t="s">
        <v>28</v>
      </c>
      <c r="H55" s="396" t="s">
        <v>28</v>
      </c>
      <c r="I55" s="396" t="s">
        <v>28</v>
      </c>
      <c r="K55" s="28"/>
    </row>
    <row r="56" spans="1:11" ht="15" customHeight="1" x14ac:dyDescent="0.2">
      <c r="B56" s="821"/>
      <c r="C56" s="815">
        <v>0</v>
      </c>
      <c r="D56" s="815">
        <v>1</v>
      </c>
      <c r="E56" s="815">
        <v>2</v>
      </c>
      <c r="F56" s="815">
        <v>3</v>
      </c>
      <c r="G56" s="815">
        <v>4</v>
      </c>
      <c r="H56" s="815">
        <v>5</v>
      </c>
      <c r="I56" s="815">
        <v>6</v>
      </c>
    </row>
    <row r="57" spans="1:11" ht="15" customHeight="1" x14ac:dyDescent="0.2">
      <c r="B57" s="821"/>
      <c r="C57" s="388" t="s">
        <v>543</v>
      </c>
      <c r="D57" s="388" t="s">
        <v>544</v>
      </c>
      <c r="E57" s="388" t="s">
        <v>545</v>
      </c>
      <c r="F57" s="388" t="s">
        <v>546</v>
      </c>
      <c r="G57" s="388" t="s">
        <v>547</v>
      </c>
      <c r="H57" s="388" t="s">
        <v>548</v>
      </c>
      <c r="I57" s="388" t="s">
        <v>549</v>
      </c>
    </row>
    <row r="58" spans="1:11" ht="15" customHeight="1" x14ac:dyDescent="0.2">
      <c r="B58" s="822" t="s">
        <v>21</v>
      </c>
      <c r="C58" s="397"/>
      <c r="D58" s="397"/>
      <c r="E58" s="397"/>
      <c r="F58" s="397"/>
      <c r="G58" s="397"/>
      <c r="H58" s="397"/>
      <c r="I58" s="397"/>
    </row>
    <row r="59" spans="1:11" ht="15" customHeight="1" x14ac:dyDescent="0.2">
      <c r="B59" s="822">
        <v>1</v>
      </c>
      <c r="C59" s="723">
        <v>7.4999999999999997E-3</v>
      </c>
      <c r="D59" s="812">
        <f t="shared" ref="D59:H68" si="1">(($I59-$C59)/6)*D$56+$C59</f>
        <v>2.7916666666666666E-2</v>
      </c>
      <c r="E59" s="812">
        <f t="shared" si="1"/>
        <v>4.8333333333333332E-2</v>
      </c>
      <c r="F59" s="812">
        <f t="shared" si="1"/>
        <v>6.8750000000000006E-2</v>
      </c>
      <c r="G59" s="812">
        <f t="shared" si="1"/>
        <v>8.9166666666666672E-2</v>
      </c>
      <c r="H59" s="812">
        <f t="shared" si="1"/>
        <v>0.10958333333333334</v>
      </c>
      <c r="I59" s="723">
        <v>0.13</v>
      </c>
    </row>
    <row r="60" spans="1:11" ht="15" customHeight="1" x14ac:dyDescent="0.2">
      <c r="B60" s="822">
        <v>2</v>
      </c>
      <c r="C60" s="724">
        <v>0.02</v>
      </c>
      <c r="D60" s="813">
        <f t="shared" si="1"/>
        <v>3.833333333333333E-2</v>
      </c>
      <c r="E60" s="813">
        <f t="shared" si="1"/>
        <v>5.6666666666666671E-2</v>
      </c>
      <c r="F60" s="813">
        <f t="shared" si="1"/>
        <v>7.4999999999999997E-2</v>
      </c>
      <c r="G60" s="813">
        <f t="shared" si="1"/>
        <v>9.3333333333333338E-2</v>
      </c>
      <c r="H60" s="813">
        <f t="shared" si="1"/>
        <v>0.11166666666666668</v>
      </c>
      <c r="I60" s="724">
        <v>0.13</v>
      </c>
    </row>
    <row r="61" spans="1:11" ht="15" customHeight="1" x14ac:dyDescent="0.2">
      <c r="B61" s="822">
        <v>3</v>
      </c>
      <c r="C61" s="722">
        <v>3.3000000000000002E-2</v>
      </c>
      <c r="D61" s="814">
        <f t="shared" si="1"/>
        <v>4.9166666666666664E-2</v>
      </c>
      <c r="E61" s="814">
        <f t="shared" si="1"/>
        <v>6.5333333333333327E-2</v>
      </c>
      <c r="F61" s="814">
        <f t="shared" si="1"/>
        <v>8.1500000000000003E-2</v>
      </c>
      <c r="G61" s="814">
        <f t="shared" si="1"/>
        <v>9.7666666666666666E-2</v>
      </c>
      <c r="H61" s="814">
        <f t="shared" si="1"/>
        <v>0.11383333333333333</v>
      </c>
      <c r="I61" s="722">
        <v>0.13</v>
      </c>
    </row>
    <row r="62" spans="1:11" ht="15" customHeight="1" x14ac:dyDescent="0.2">
      <c r="B62" s="822">
        <v>4</v>
      </c>
      <c r="C62" s="722">
        <v>4.7E-2</v>
      </c>
      <c r="D62" s="814">
        <f t="shared" si="1"/>
        <v>6.0833333333333336E-2</v>
      </c>
      <c r="E62" s="814">
        <f t="shared" si="1"/>
        <v>7.4666666666666673E-2</v>
      </c>
      <c r="F62" s="814">
        <f t="shared" si="1"/>
        <v>8.8499999999999995E-2</v>
      </c>
      <c r="G62" s="814">
        <f t="shared" si="1"/>
        <v>0.10233333333333333</v>
      </c>
      <c r="H62" s="814">
        <f t="shared" si="1"/>
        <v>0.11616666666666667</v>
      </c>
      <c r="I62" s="722">
        <v>0.13</v>
      </c>
    </row>
    <row r="63" spans="1:11" ht="15" customHeight="1" x14ac:dyDescent="0.2">
      <c r="B63" s="822">
        <v>5</v>
      </c>
      <c r="C63" s="724">
        <v>5.8999999999999997E-2</v>
      </c>
      <c r="D63" s="813">
        <f t="shared" si="1"/>
        <v>7.0833333333333331E-2</v>
      </c>
      <c r="E63" s="813">
        <f t="shared" si="1"/>
        <v>8.2666666666666666E-2</v>
      </c>
      <c r="F63" s="813">
        <f t="shared" si="1"/>
        <v>9.4500000000000001E-2</v>
      </c>
      <c r="G63" s="813">
        <f t="shared" si="1"/>
        <v>0.10633333333333334</v>
      </c>
      <c r="H63" s="813">
        <f t="shared" si="1"/>
        <v>0.11816666666666667</v>
      </c>
      <c r="I63" s="724">
        <v>0.13</v>
      </c>
    </row>
    <row r="64" spans="1:11" ht="15" customHeight="1" x14ac:dyDescent="0.2">
      <c r="B64" s="822">
        <v>10</v>
      </c>
      <c r="C64" s="722">
        <v>0.1</v>
      </c>
      <c r="D64" s="814">
        <f t="shared" si="1"/>
        <v>0.10500000000000001</v>
      </c>
      <c r="E64" s="814">
        <f t="shared" si="1"/>
        <v>0.11</v>
      </c>
      <c r="F64" s="814">
        <f t="shared" si="1"/>
        <v>0.115</v>
      </c>
      <c r="G64" s="814">
        <f t="shared" si="1"/>
        <v>0.12000000000000001</v>
      </c>
      <c r="H64" s="814">
        <f t="shared" si="1"/>
        <v>0.125</v>
      </c>
      <c r="I64" s="722">
        <v>0.13</v>
      </c>
    </row>
    <row r="65" spans="1:11" ht="15" customHeight="1" x14ac:dyDescent="0.2">
      <c r="B65" s="822">
        <v>20</v>
      </c>
      <c r="C65" s="398">
        <v>0.13</v>
      </c>
      <c r="D65" s="528">
        <f t="shared" si="1"/>
        <v>0.13</v>
      </c>
      <c r="E65" s="528">
        <f t="shared" si="1"/>
        <v>0.13</v>
      </c>
      <c r="F65" s="528">
        <f t="shared" si="1"/>
        <v>0.13</v>
      </c>
      <c r="G65" s="528">
        <f t="shared" si="1"/>
        <v>0.13</v>
      </c>
      <c r="H65" s="528">
        <f t="shared" si="1"/>
        <v>0.13</v>
      </c>
      <c r="I65" s="722">
        <v>0.13</v>
      </c>
    </row>
    <row r="66" spans="1:11" ht="15" customHeight="1" x14ac:dyDescent="0.2">
      <c r="B66" s="822">
        <v>30</v>
      </c>
      <c r="C66" s="398">
        <v>0.13</v>
      </c>
      <c r="D66" s="528">
        <f t="shared" si="1"/>
        <v>0.13</v>
      </c>
      <c r="E66" s="528">
        <f t="shared" si="1"/>
        <v>0.13</v>
      </c>
      <c r="F66" s="528">
        <f t="shared" si="1"/>
        <v>0.13</v>
      </c>
      <c r="G66" s="528">
        <f t="shared" si="1"/>
        <v>0.13</v>
      </c>
      <c r="H66" s="528">
        <f t="shared" si="1"/>
        <v>0.13</v>
      </c>
      <c r="I66" s="722">
        <v>0.13</v>
      </c>
    </row>
    <row r="67" spans="1:11" ht="15" customHeight="1" x14ac:dyDescent="0.2">
      <c r="B67" s="822">
        <v>40</v>
      </c>
      <c r="C67" s="398">
        <v>0.13</v>
      </c>
      <c r="D67" s="528">
        <f t="shared" si="1"/>
        <v>0.13</v>
      </c>
      <c r="E67" s="528">
        <f t="shared" si="1"/>
        <v>0.13</v>
      </c>
      <c r="F67" s="528">
        <f t="shared" si="1"/>
        <v>0.13</v>
      </c>
      <c r="G67" s="528">
        <f t="shared" si="1"/>
        <v>0.13</v>
      </c>
      <c r="H67" s="528">
        <f t="shared" si="1"/>
        <v>0.13</v>
      </c>
      <c r="I67" s="722">
        <v>0.13</v>
      </c>
    </row>
    <row r="68" spans="1:11" ht="15" customHeight="1" x14ac:dyDescent="0.2">
      <c r="B68" s="823">
        <v>50</v>
      </c>
      <c r="C68" s="725">
        <v>0.13</v>
      </c>
      <c r="D68" s="529">
        <f t="shared" si="1"/>
        <v>0.13</v>
      </c>
      <c r="E68" s="529">
        <f t="shared" si="1"/>
        <v>0.13</v>
      </c>
      <c r="F68" s="529">
        <f t="shared" si="1"/>
        <v>0.13</v>
      </c>
      <c r="G68" s="529">
        <f t="shared" si="1"/>
        <v>0.13</v>
      </c>
      <c r="H68" s="529">
        <f t="shared" si="1"/>
        <v>0.13</v>
      </c>
      <c r="I68" s="726">
        <v>0.13</v>
      </c>
    </row>
    <row r="69" spans="1:11" ht="15" customHeight="1" x14ac:dyDescent="0.2">
      <c r="A69" s="41"/>
      <c r="B69" s="66"/>
      <c r="C69" s="827"/>
      <c r="D69" s="828"/>
      <c r="E69" s="828"/>
      <c r="F69" s="828"/>
      <c r="G69" s="828"/>
      <c r="H69" s="828"/>
      <c r="I69" s="829"/>
      <c r="J69" s="41"/>
      <c r="K69" s="41"/>
    </row>
    <row r="70" spans="1:11" ht="15" customHeight="1" x14ac:dyDescent="0.2">
      <c r="A70" s="41"/>
      <c r="B70" s="66"/>
      <c r="C70" s="827"/>
      <c r="D70" s="828"/>
      <c r="E70" s="828"/>
      <c r="F70" s="828"/>
      <c r="G70" s="828"/>
      <c r="H70" s="828"/>
      <c r="I70" s="829"/>
      <c r="J70" s="41"/>
      <c r="K70" s="41"/>
    </row>
    <row r="71" spans="1:11" ht="15" customHeight="1" x14ac:dyDescent="0.2">
      <c r="A71" s="41"/>
      <c r="B71" s="66"/>
      <c r="C71" s="827"/>
      <c r="D71" s="828"/>
      <c r="E71" s="828"/>
      <c r="F71" s="828"/>
      <c r="G71" s="828"/>
      <c r="H71" s="828"/>
      <c r="I71" s="829"/>
      <c r="J71" s="41"/>
      <c r="K71" s="41"/>
    </row>
    <row r="72" spans="1:11" ht="15" customHeight="1" x14ac:dyDescent="0.2">
      <c r="A72" s="41"/>
      <c r="B72" s="66"/>
      <c r="C72" s="827"/>
      <c r="D72" s="828"/>
      <c r="E72" s="828"/>
      <c r="F72" s="828"/>
      <c r="G72" s="828"/>
      <c r="H72" s="828"/>
      <c r="I72" s="829"/>
      <c r="J72" s="41"/>
      <c r="K72" s="41"/>
    </row>
    <row r="73" spans="1:11" ht="15" customHeight="1" x14ac:dyDescent="0.2">
      <c r="A73" s="41"/>
      <c r="B73" s="66"/>
      <c r="C73" s="827"/>
      <c r="D73" s="828"/>
      <c r="E73" s="828"/>
      <c r="F73" s="828"/>
      <c r="G73" s="828"/>
      <c r="H73" s="828"/>
      <c r="I73" s="829"/>
      <c r="J73" s="41"/>
      <c r="K73" s="41"/>
    </row>
    <row r="74" spans="1:11" ht="15" customHeight="1" x14ac:dyDescent="0.2">
      <c r="A74" s="41"/>
      <c r="B74" s="66"/>
      <c r="C74" s="827"/>
      <c r="D74" s="828"/>
      <c r="E74" s="828"/>
      <c r="F74" s="828"/>
      <c r="G74" s="828"/>
      <c r="H74" s="828"/>
      <c r="I74" s="829"/>
      <c r="J74" s="41"/>
      <c r="K74" s="41"/>
    </row>
    <row r="75" spans="1:11" ht="15" customHeight="1" x14ac:dyDescent="0.2">
      <c r="A75" s="41"/>
      <c r="B75" s="66"/>
      <c r="C75" s="827"/>
      <c r="D75" s="828"/>
      <c r="E75" s="828"/>
      <c r="F75" s="828"/>
      <c r="G75" s="828"/>
      <c r="H75" s="828"/>
      <c r="I75" s="829"/>
      <c r="J75" s="41"/>
      <c r="K75" s="41"/>
    </row>
    <row r="76" spans="1:11" ht="15" customHeight="1" x14ac:dyDescent="0.2">
      <c r="A76" s="41"/>
      <c r="B76" s="66"/>
      <c r="C76" s="827"/>
      <c r="D76" s="828"/>
      <c r="E76" s="828"/>
      <c r="F76" s="828"/>
      <c r="G76" s="828"/>
      <c r="H76" s="828"/>
      <c r="I76" s="829"/>
      <c r="J76" s="41"/>
      <c r="K76" s="41"/>
    </row>
    <row r="77" spans="1:11" ht="15" customHeight="1" x14ac:dyDescent="0.2">
      <c r="A77" s="41"/>
      <c r="B77" s="66"/>
      <c r="C77" s="827"/>
      <c r="D77" s="828"/>
      <c r="E77" s="828"/>
      <c r="F77" s="828"/>
      <c r="G77" s="828"/>
      <c r="H77" s="828"/>
      <c r="I77" s="829"/>
      <c r="J77" s="41"/>
      <c r="K77" s="41"/>
    </row>
    <row r="78" spans="1:11" ht="15" customHeight="1" x14ac:dyDescent="0.2">
      <c r="A78" s="41"/>
      <c r="B78" s="66"/>
      <c r="C78" s="827"/>
      <c r="D78" s="828"/>
      <c r="E78" s="828"/>
      <c r="F78" s="828"/>
      <c r="G78" s="828"/>
      <c r="H78" s="828"/>
      <c r="I78" s="829"/>
      <c r="J78" s="41"/>
      <c r="K78" s="41"/>
    </row>
    <row r="79" spans="1:11" ht="15" customHeight="1" x14ac:dyDescent="0.2">
      <c r="A79" s="41"/>
      <c r="B79" s="66"/>
      <c r="C79" s="827"/>
      <c r="D79" s="828"/>
      <c r="E79" s="828"/>
      <c r="F79" s="828"/>
      <c r="G79" s="828"/>
      <c r="H79" s="828"/>
      <c r="I79" s="829"/>
      <c r="J79" s="41"/>
      <c r="K79" s="41"/>
    </row>
    <row r="80" spans="1:11" ht="15" customHeight="1" x14ac:dyDescent="0.2">
      <c r="A80" s="41"/>
      <c r="B80" s="66"/>
      <c r="C80" s="827"/>
      <c r="D80" s="828"/>
      <c r="E80" s="828"/>
      <c r="F80" s="828"/>
      <c r="G80" s="828"/>
      <c r="H80" s="828"/>
      <c r="I80" s="829"/>
      <c r="J80" s="41"/>
      <c r="K80" s="41"/>
    </row>
    <row r="81" spans="1:11" ht="15" customHeight="1" x14ac:dyDescent="0.2">
      <c r="A81" s="41"/>
      <c r="B81" s="66"/>
      <c r="C81" s="827"/>
      <c r="D81" s="828"/>
      <c r="E81" s="828"/>
      <c r="F81" s="828"/>
      <c r="G81" s="828"/>
      <c r="H81" s="828"/>
      <c r="I81" s="829"/>
      <c r="J81" s="41"/>
      <c r="K81" s="41"/>
    </row>
    <row r="82" spans="1:11" ht="15" customHeight="1" x14ac:dyDescent="0.2">
      <c r="A82" s="41"/>
      <c r="B82" s="66"/>
      <c r="C82" s="827"/>
      <c r="D82" s="828"/>
      <c r="E82" s="828"/>
      <c r="F82" s="828"/>
      <c r="G82" s="828"/>
      <c r="H82" s="828"/>
      <c r="I82" s="829"/>
      <c r="J82" s="41"/>
      <c r="K82" s="41"/>
    </row>
    <row r="83" spans="1:11" ht="15" customHeight="1" x14ac:dyDescent="0.2">
      <c r="A83" s="41"/>
      <c r="B83" s="66"/>
      <c r="C83" s="827"/>
      <c r="D83" s="828"/>
      <c r="E83" s="828"/>
      <c r="F83" s="828"/>
      <c r="G83" s="828"/>
      <c r="H83" s="828"/>
      <c r="I83" s="829"/>
      <c r="J83" s="41"/>
      <c r="K83" s="41"/>
    </row>
    <row r="84" spans="1:11" ht="15" customHeight="1" x14ac:dyDescent="0.2">
      <c r="A84" s="41"/>
      <c r="B84" s="66"/>
      <c r="C84" s="827"/>
      <c r="D84" s="828"/>
      <c r="E84" s="828"/>
      <c r="F84" s="828"/>
      <c r="G84" s="828"/>
      <c r="H84" s="828"/>
      <c r="I84" s="829"/>
      <c r="J84" s="41"/>
      <c r="K84" s="41"/>
    </row>
    <row r="85" spans="1:11" ht="15" customHeight="1" x14ac:dyDescent="0.2">
      <c r="A85" s="41"/>
      <c r="B85" s="66"/>
      <c r="C85" s="827"/>
      <c r="D85" s="828"/>
      <c r="E85" s="828"/>
      <c r="F85" s="828"/>
      <c r="G85" s="828"/>
      <c r="H85" s="828"/>
      <c r="I85" s="829"/>
      <c r="J85" s="41"/>
      <c r="K85" s="41"/>
    </row>
    <row r="86" spans="1:11" ht="15" customHeight="1" x14ac:dyDescent="0.2">
      <c r="A86" s="41"/>
      <c r="B86" s="66"/>
      <c r="C86" s="827"/>
      <c r="D86" s="828"/>
      <c r="E86" s="828"/>
      <c r="F86" s="828"/>
      <c r="G86" s="828"/>
      <c r="H86" s="828"/>
      <c r="I86" s="829"/>
      <c r="J86" s="41"/>
      <c r="K86" s="41"/>
    </row>
    <row r="87" spans="1:11" ht="15" customHeight="1" x14ac:dyDescent="0.2">
      <c r="A87" s="41"/>
      <c r="B87" s="66"/>
      <c r="C87" s="827"/>
      <c r="D87" s="828"/>
      <c r="E87" s="828"/>
      <c r="F87" s="828"/>
      <c r="G87" s="828"/>
      <c r="H87" s="828"/>
      <c r="I87" s="829"/>
      <c r="J87" s="41"/>
      <c r="K87" s="41"/>
    </row>
    <row r="88" spans="1:11" ht="15" customHeight="1" x14ac:dyDescent="0.2">
      <c r="A88" s="41"/>
      <c r="B88" s="66"/>
      <c r="C88" s="827"/>
      <c r="D88" s="828"/>
      <c r="E88" s="828"/>
      <c r="F88" s="828"/>
      <c r="G88" s="828"/>
      <c r="H88" s="828"/>
      <c r="I88" s="829"/>
      <c r="J88" s="41"/>
      <c r="K88" s="41"/>
    </row>
    <row r="89" spans="1:11" ht="15" customHeight="1" x14ac:dyDescent="0.2">
      <c r="A89" s="41"/>
      <c r="B89" s="66"/>
      <c r="C89" s="827"/>
      <c r="D89" s="828"/>
      <c r="E89" s="828"/>
      <c r="F89" s="828"/>
      <c r="G89" s="828"/>
      <c r="H89" s="828"/>
      <c r="I89" s="829"/>
      <c r="J89" s="41"/>
      <c r="K89" s="41"/>
    </row>
    <row r="90" spans="1:11" ht="15" customHeight="1" x14ac:dyDescent="0.2">
      <c r="A90" s="41"/>
      <c r="B90" s="66"/>
      <c r="C90" s="827"/>
      <c r="D90" s="828"/>
      <c r="E90" s="828"/>
      <c r="F90" s="828"/>
      <c r="G90" s="828"/>
      <c r="H90" s="828"/>
      <c r="I90" s="829"/>
      <c r="J90" s="41"/>
      <c r="K90" s="41"/>
    </row>
    <row r="91" spans="1:11" ht="15" customHeight="1" x14ac:dyDescent="0.2">
      <c r="A91" s="41"/>
      <c r="B91" s="66"/>
      <c r="C91" s="827"/>
      <c r="D91" s="828"/>
      <c r="E91" s="828"/>
      <c r="F91" s="828"/>
      <c r="G91" s="828"/>
      <c r="H91" s="828"/>
      <c r="I91" s="829"/>
      <c r="J91" s="41"/>
      <c r="K91" s="41"/>
    </row>
    <row r="92" spans="1:11" ht="15" customHeight="1" x14ac:dyDescent="0.2">
      <c r="A92" s="41"/>
      <c r="B92" s="66"/>
      <c r="C92" s="827"/>
      <c r="D92" s="828"/>
      <c r="E92" s="828"/>
      <c r="F92" s="828"/>
      <c r="G92" s="828"/>
      <c r="H92" s="828"/>
      <c r="I92" s="829"/>
      <c r="J92" s="41"/>
      <c r="K92" s="41"/>
    </row>
    <row r="93" spans="1:11" ht="15" customHeight="1" x14ac:dyDescent="0.2">
      <c r="A93" s="41"/>
      <c r="B93" s="66"/>
      <c r="C93" s="827"/>
      <c r="D93" s="828"/>
      <c r="E93" s="828"/>
      <c r="F93" s="828"/>
      <c r="G93" s="828"/>
      <c r="H93" s="828"/>
      <c r="I93" s="829"/>
      <c r="J93" s="41"/>
      <c r="K93" s="41"/>
    </row>
    <row r="94" spans="1:11" ht="15" customHeight="1" x14ac:dyDescent="0.2">
      <c r="A94" s="41"/>
      <c r="B94" s="66"/>
      <c r="C94" s="827"/>
      <c r="D94" s="828"/>
      <c r="E94" s="828"/>
      <c r="F94" s="828"/>
      <c r="G94" s="828"/>
      <c r="H94" s="828"/>
      <c r="I94" s="829"/>
      <c r="J94" s="41"/>
      <c r="K94" s="41"/>
    </row>
    <row r="95" spans="1:11" ht="15" customHeight="1" x14ac:dyDescent="0.2">
      <c r="A95" s="41"/>
      <c r="B95" s="66"/>
      <c r="C95" s="827"/>
      <c r="D95" s="828"/>
      <c r="E95" s="828"/>
      <c r="F95" s="828"/>
      <c r="G95" s="828"/>
      <c r="H95" s="828"/>
      <c r="I95" s="829"/>
      <c r="J95" s="41"/>
      <c r="K95" s="41"/>
    </row>
    <row r="96" spans="1:11" ht="15" customHeight="1" x14ac:dyDescent="0.2">
      <c r="B96" s="66"/>
      <c r="C96" s="827"/>
      <c r="D96" s="828"/>
      <c r="E96" s="828"/>
      <c r="F96" s="828"/>
      <c r="G96" s="828"/>
      <c r="H96" s="828"/>
      <c r="I96" s="829"/>
    </row>
    <row r="97" spans="1:5" ht="15" customHeight="1" x14ac:dyDescent="0.2">
      <c r="B97" s="721"/>
      <c r="C97" s="719"/>
      <c r="D97" s="719"/>
      <c r="E97" s="720"/>
    </row>
    <row r="98" spans="1:5" ht="15" customHeight="1" x14ac:dyDescent="0.2"/>
    <row r="99" spans="1:5" ht="15" customHeight="1" x14ac:dyDescent="0.2"/>
    <row r="100" spans="1:5" ht="15" customHeight="1" x14ac:dyDescent="0.2">
      <c r="A100" s="64" t="s">
        <v>45</v>
      </c>
      <c r="B100" s="64" t="s">
        <v>390</v>
      </c>
    </row>
    <row r="101" spans="1:5" ht="15" customHeight="1" x14ac:dyDescent="0.2">
      <c r="B101" s="64" t="s">
        <v>391</v>
      </c>
    </row>
    <row r="102" spans="1:5" ht="15" customHeight="1" x14ac:dyDescent="0.2">
      <c r="B102" s="90"/>
    </row>
    <row r="103" spans="1:5" ht="15" customHeight="1" x14ac:dyDescent="0.2"/>
    <row r="104" spans="1:5" ht="15" customHeight="1" x14ac:dyDescent="0.2">
      <c r="B104" s="117" t="s">
        <v>125</v>
      </c>
      <c r="C104" s="117"/>
      <c r="D104" s="117"/>
    </row>
    <row r="105" spans="1:5" ht="15" customHeight="1" x14ac:dyDescent="0.2">
      <c r="B105" s="117" t="s">
        <v>34</v>
      </c>
      <c r="C105" s="117"/>
      <c r="D105" s="117" t="s">
        <v>34</v>
      </c>
    </row>
    <row r="106" spans="1:5" ht="15" customHeight="1" x14ac:dyDescent="0.2">
      <c r="B106" s="117" t="s">
        <v>42</v>
      </c>
      <c r="C106" s="117"/>
      <c r="D106" s="117" t="s">
        <v>42</v>
      </c>
    </row>
    <row r="107" spans="1:5" ht="15" customHeight="1" x14ac:dyDescent="0.2">
      <c r="A107" s="53"/>
      <c r="B107" s="117" t="s">
        <v>43</v>
      </c>
      <c r="C107" s="117" t="s">
        <v>21</v>
      </c>
      <c r="D107" s="117" t="s">
        <v>43</v>
      </c>
    </row>
    <row r="108" spans="1:5" ht="15" customHeight="1" x14ac:dyDescent="0.2">
      <c r="B108" s="715">
        <v>27.5</v>
      </c>
      <c r="C108" s="106">
        <v>1</v>
      </c>
      <c r="D108" s="175">
        <v>27.5</v>
      </c>
      <c r="E108" s="38"/>
    </row>
    <row r="109" spans="1:5" ht="15" customHeight="1" x14ac:dyDescent="0.2">
      <c r="B109" s="716">
        <v>50.722857142857116</v>
      </c>
      <c r="C109" s="106">
        <v>2</v>
      </c>
      <c r="D109" s="176">
        <v>50.722857142857116</v>
      </c>
      <c r="E109" s="605">
        <f>D109/D108</f>
        <v>1.8444675324675315</v>
      </c>
    </row>
    <row r="110" spans="1:5" ht="15" customHeight="1" x14ac:dyDescent="0.2">
      <c r="B110" s="65">
        <v>70.465714285714284</v>
      </c>
      <c r="C110" s="106">
        <v>3</v>
      </c>
      <c r="D110" s="717">
        <v>70.465714285714284</v>
      </c>
      <c r="E110" s="605">
        <f t="shared" ref="E110:E112" si="2">D110/D109</f>
        <v>1.3892299892975841</v>
      </c>
    </row>
    <row r="111" spans="1:5" ht="15" customHeight="1" x14ac:dyDescent="0.2">
      <c r="B111" s="65">
        <v>88.022857142857163</v>
      </c>
      <c r="C111" s="106">
        <v>4</v>
      </c>
      <c r="D111" s="717">
        <v>88.022857142857163</v>
      </c>
      <c r="E111" s="605">
        <f t="shared" si="2"/>
        <v>1.2491586587195398</v>
      </c>
    </row>
    <row r="112" spans="1:5" ht="15" customHeight="1" x14ac:dyDescent="0.2">
      <c r="B112" s="716">
        <v>104.64428571428573</v>
      </c>
      <c r="C112" s="106">
        <v>5</v>
      </c>
      <c r="D112" s="176">
        <v>104.64428571428573</v>
      </c>
      <c r="E112" s="605">
        <f t="shared" si="2"/>
        <v>1.1888308231628149</v>
      </c>
    </row>
    <row r="113" spans="1:8" ht="15" customHeight="1" x14ac:dyDescent="0.2">
      <c r="B113" s="65">
        <v>169.99857142857147</v>
      </c>
      <c r="C113" s="106">
        <v>10</v>
      </c>
      <c r="D113" s="177">
        <v>169.99857142857147</v>
      </c>
      <c r="E113" s="605">
        <f>(D113/D112)/5</f>
        <v>0.32490750979508815</v>
      </c>
    </row>
    <row r="114" spans="1:8" ht="15" customHeight="1" x14ac:dyDescent="0.2">
      <c r="B114" s="65">
        <v>276.0057142857143</v>
      </c>
      <c r="C114" s="106">
        <v>20</v>
      </c>
      <c r="D114" s="177">
        <v>276.0057142857143</v>
      </c>
      <c r="E114" s="605">
        <f>(D114/D113)/10</f>
        <v>0.16235766687115016</v>
      </c>
    </row>
    <row r="115" spans="1:8" ht="15" customHeight="1" x14ac:dyDescent="0.2">
      <c r="B115" s="65">
        <v>373.39142857142855</v>
      </c>
      <c r="C115" s="106">
        <v>30</v>
      </c>
      <c r="D115" s="177">
        <v>373.39142857142855</v>
      </c>
      <c r="E115" s="605">
        <f t="shared" ref="E115:E117" si="3">(D115/D114)/10</f>
        <v>0.13528394857249332</v>
      </c>
    </row>
    <row r="116" spans="1:8" ht="15" customHeight="1" x14ac:dyDescent="0.2">
      <c r="B116" s="65">
        <v>461.20571428571418</v>
      </c>
      <c r="C116" s="106">
        <v>40</v>
      </c>
      <c r="D116" s="177">
        <v>461.20571428571418</v>
      </c>
      <c r="E116" s="605">
        <f t="shared" si="3"/>
        <v>0.12351802398096212</v>
      </c>
    </row>
    <row r="117" spans="1:8" ht="15" customHeight="1" x14ac:dyDescent="0.2">
      <c r="B117" s="716">
        <v>538.49857142857138</v>
      </c>
      <c r="C117" s="106">
        <v>50</v>
      </c>
      <c r="D117" s="176">
        <v>538.49857142857138</v>
      </c>
      <c r="E117" s="605">
        <f t="shared" si="3"/>
        <v>0.11675886806011573</v>
      </c>
    </row>
    <row r="118" spans="1:8" ht="15" customHeight="1" x14ac:dyDescent="0.2"/>
    <row r="119" spans="1:8" ht="15" customHeight="1" x14ac:dyDescent="0.2">
      <c r="C119" s="315" t="s">
        <v>126</v>
      </c>
      <c r="H119" s="604"/>
    </row>
    <row r="120" spans="1:8" ht="15" customHeight="1" x14ac:dyDescent="0.2"/>
    <row r="121" spans="1:8" ht="15" customHeight="1" x14ac:dyDescent="0.2"/>
    <row r="122" spans="1:8" ht="15" customHeight="1" x14ac:dyDescent="0.2">
      <c r="A122" s="64" t="s">
        <v>48</v>
      </c>
      <c r="B122" s="64" t="s">
        <v>310</v>
      </c>
    </row>
    <row r="123" spans="1:8" ht="15" customHeight="1" x14ac:dyDescent="0.2">
      <c r="B123" s="64" t="s">
        <v>309</v>
      </c>
    </row>
    <row r="124" spans="1:8" ht="15" customHeight="1" x14ac:dyDescent="0.2">
      <c r="B124" s="90"/>
      <c r="H124" s="53"/>
    </row>
    <row r="125" spans="1:8" ht="15" customHeight="1" x14ac:dyDescent="0.2"/>
    <row r="126" spans="1:8" ht="15" customHeight="1" x14ac:dyDescent="0.2">
      <c r="E126" s="409">
        <f>INDEX(LINEST(D$134:D$138,($C$134:$C$138)^{1,2,3}),1)</f>
        <v>0.21202380952380004</v>
      </c>
      <c r="F126" s="408">
        <f>INDEX(LINEST(D$139:D$143,($C$139:$C$143)^{1,2,3}),1)</f>
        <v>-1.583333333333201E-4</v>
      </c>
      <c r="H126" t="s">
        <v>300</v>
      </c>
    </row>
    <row r="127" spans="1:8" ht="15" customHeight="1" x14ac:dyDescent="0.2">
      <c r="E127" s="409">
        <f>INDEX(LINEST(D$134:D$138,($C$134:$C$138)^{1,2,3}),2)</f>
        <v>-3.0073979591835815</v>
      </c>
      <c r="F127" s="408">
        <f>INDEX(LINEST(D$139:D$143,($C$139:$C$143)^{1,2,3}),2)</f>
        <v>-3.3607142857143966E-2</v>
      </c>
      <c r="H127" t="s">
        <v>301</v>
      </c>
    </row>
    <row r="128" spans="1:8" ht="15" customHeight="1" x14ac:dyDescent="0.2">
      <c r="E128" s="409">
        <f>INDEX(LINEST(D$134:D$138,($C$134:$C$138)^{1,2,3}),3)</f>
        <v>30.757721088435126</v>
      </c>
      <c r="F128" s="408">
        <f>INDEX(LINEST(D$139:D$143,($C$139:$C$143)^{1,2,3}),3)</f>
        <v>11.719761904761924</v>
      </c>
    </row>
    <row r="129" spans="1:11" ht="15" customHeight="1" x14ac:dyDescent="0.2">
      <c r="E129" s="409">
        <f>INDEX(LINEST(D$134:D$138,($C$134:$C$138)^{1,2,3}),4)</f>
        <v>-0.46171428571413742</v>
      </c>
      <c r="F129" s="408">
        <f>INDEX(LINEST(D$139:D$143,($C$139:$C$143)^{1,2,3}),4)</f>
        <v>56.320000000000036</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27.5</v>
      </c>
      <c r="E134" s="114">
        <f>(E$126*($C134)^3)+(E$127*($C134)^2)+(E$128*($C134)^1)+(E$129)</f>
        <v>27.500632653061206</v>
      </c>
      <c r="F134" s="2"/>
      <c r="H134" s="106">
        <v>1</v>
      </c>
      <c r="I134" s="393">
        <f>E134</f>
        <v>27.500632653061206</v>
      </c>
      <c r="J134" s="109">
        <f>B108</f>
        <v>27.5</v>
      </c>
      <c r="K134" s="410">
        <f>I134-J134</f>
        <v>6.3265306120641185E-4</v>
      </c>
    </row>
    <row r="135" spans="1:11" ht="15" customHeight="1" x14ac:dyDescent="0.2">
      <c r="C135" s="106">
        <v>2</v>
      </c>
      <c r="D135" s="110">
        <f t="shared" ref="D135:D143" si="4">D109</f>
        <v>50.722857142857116</v>
      </c>
      <c r="E135" s="114">
        <f t="shared" ref="E135:E138" si="5">(E$126*($C135)^3)+(E$127*($C135)^2)+(E$128*($C135)^1)+(E$129)</f>
        <v>50.720326530612191</v>
      </c>
      <c r="F135" s="2"/>
      <c r="H135" s="106">
        <v>2</v>
      </c>
      <c r="I135" s="393">
        <f t="shared" ref="I135:I138" si="6">E135</f>
        <v>50.720326530612191</v>
      </c>
      <c r="J135" s="110">
        <f t="shared" ref="J135:J143" si="7">B109</f>
        <v>50.722857142857116</v>
      </c>
      <c r="K135" s="411">
        <f t="shared" ref="K135:K143" si="8">I135-J135</f>
        <v>-2.5306122449251234E-3</v>
      </c>
    </row>
    <row r="136" spans="1:11" ht="15" customHeight="1" x14ac:dyDescent="0.2">
      <c r="B136" s="28" t="s">
        <v>308</v>
      </c>
      <c r="C136" s="106">
        <v>3</v>
      </c>
      <c r="D136" s="105">
        <f t="shared" si="4"/>
        <v>70.465714285714284</v>
      </c>
      <c r="E136" s="114">
        <f t="shared" si="5"/>
        <v>70.469510204081615</v>
      </c>
      <c r="F136" s="2"/>
      <c r="H136" s="106">
        <v>3</v>
      </c>
      <c r="I136" s="393">
        <f t="shared" si="6"/>
        <v>70.469510204081615</v>
      </c>
      <c r="J136" s="105">
        <f t="shared" si="7"/>
        <v>70.465714285714284</v>
      </c>
      <c r="K136" s="412">
        <f t="shared" si="8"/>
        <v>3.7959183673308416E-3</v>
      </c>
    </row>
    <row r="137" spans="1:11" ht="15" customHeight="1" x14ac:dyDescent="0.2">
      <c r="C137" s="106">
        <v>4</v>
      </c>
      <c r="D137" s="105">
        <f t="shared" si="4"/>
        <v>88.022857142857163</v>
      </c>
      <c r="E137" s="114">
        <f t="shared" si="5"/>
        <v>88.020326530612266</v>
      </c>
      <c r="F137" s="2"/>
      <c r="H137" s="106">
        <v>4</v>
      </c>
      <c r="I137" s="393">
        <f t="shared" si="6"/>
        <v>88.020326530612266</v>
      </c>
      <c r="J137" s="105">
        <f t="shared" si="7"/>
        <v>88.022857142857163</v>
      </c>
      <c r="K137" s="412">
        <f t="shared" si="8"/>
        <v>-2.5306122448967017E-3</v>
      </c>
    </row>
    <row r="138" spans="1:11" ht="15" customHeight="1" x14ac:dyDescent="0.2">
      <c r="C138" s="106">
        <v>5</v>
      </c>
      <c r="D138" s="110">
        <f t="shared" si="4"/>
        <v>104.64428571428573</v>
      </c>
      <c r="E138" s="114">
        <f t="shared" si="5"/>
        <v>104.64491836734696</v>
      </c>
      <c r="F138" s="2"/>
      <c r="H138" s="106">
        <v>5</v>
      </c>
      <c r="I138" s="393">
        <f t="shared" si="6"/>
        <v>104.64491836734696</v>
      </c>
      <c r="J138" s="110">
        <f t="shared" si="7"/>
        <v>104.64428571428573</v>
      </c>
      <c r="K138" s="411">
        <f t="shared" si="8"/>
        <v>6.3265306123128084E-4</v>
      </c>
    </row>
    <row r="139" spans="1:11" ht="15" customHeight="1" x14ac:dyDescent="0.2">
      <c r="C139" s="106">
        <v>10</v>
      </c>
      <c r="D139" s="105">
        <f t="shared" si="4"/>
        <v>169.99857142857147</v>
      </c>
      <c r="E139" s="416"/>
      <c r="F139" s="115">
        <f>(F$126*($C139)^3)+(F$127*($C139)^2)+(F$128*($C139)^1)+(F$129)</f>
        <v>169.99857142857155</v>
      </c>
      <c r="H139" s="106">
        <v>10</v>
      </c>
      <c r="I139" s="393">
        <f>F139</f>
        <v>169.99857142857155</v>
      </c>
      <c r="J139" s="105">
        <f t="shared" si="7"/>
        <v>169.99857142857147</v>
      </c>
      <c r="K139" s="412">
        <f t="shared" si="8"/>
        <v>0</v>
      </c>
    </row>
    <row r="140" spans="1:11" ht="15" customHeight="1" x14ac:dyDescent="0.2">
      <c r="C140" s="106">
        <v>20</v>
      </c>
      <c r="D140" s="105">
        <f t="shared" si="4"/>
        <v>276.0057142857143</v>
      </c>
      <c r="E140" s="2"/>
      <c r="F140" s="115">
        <f t="shared" ref="F140:F143" si="9">(F$126*($C140)^3)+(F$127*($C140)^2)+(F$128*($C140)^1)+(F$129)</f>
        <v>276.00571428571436</v>
      </c>
      <c r="H140" s="106">
        <v>20</v>
      </c>
      <c r="I140" s="393">
        <f t="shared" ref="I140:I143" si="10">F140</f>
        <v>276.00571428571436</v>
      </c>
      <c r="J140" s="105">
        <f t="shared" si="7"/>
        <v>276.0057142857143</v>
      </c>
      <c r="K140" s="412">
        <f t="shared" si="8"/>
        <v>0</v>
      </c>
    </row>
    <row r="141" spans="1:11" ht="15" customHeight="1" x14ac:dyDescent="0.2">
      <c r="B141" s="28" t="s">
        <v>297</v>
      </c>
      <c r="C141" s="106">
        <v>30</v>
      </c>
      <c r="D141" s="105">
        <f t="shared" si="4"/>
        <v>373.39142857142855</v>
      </c>
      <c r="E141" s="2"/>
      <c r="F141" s="115">
        <f t="shared" si="9"/>
        <v>373.39142857142855</v>
      </c>
      <c r="H141" s="106">
        <v>30</v>
      </c>
      <c r="I141" s="393">
        <f t="shared" si="10"/>
        <v>373.39142857142855</v>
      </c>
      <c r="J141" s="105">
        <f t="shared" si="7"/>
        <v>373.39142857142855</v>
      </c>
      <c r="K141" s="412">
        <f t="shared" si="8"/>
        <v>0</v>
      </c>
    </row>
    <row r="142" spans="1:11" ht="15" customHeight="1" x14ac:dyDescent="0.2">
      <c r="C142" s="106">
        <v>40</v>
      </c>
      <c r="D142" s="105">
        <f t="shared" si="4"/>
        <v>461.20571428571418</v>
      </c>
      <c r="E142" s="2"/>
      <c r="F142" s="115">
        <f t="shared" si="9"/>
        <v>461.20571428571418</v>
      </c>
      <c r="H142" s="106">
        <v>40</v>
      </c>
      <c r="I142" s="393">
        <f t="shared" si="10"/>
        <v>461.20571428571418</v>
      </c>
      <c r="J142" s="105">
        <f t="shared" si="7"/>
        <v>461.20571428571418</v>
      </c>
      <c r="K142" s="412">
        <f t="shared" si="8"/>
        <v>0</v>
      </c>
    </row>
    <row r="143" spans="1:11" ht="15" customHeight="1" x14ac:dyDescent="0.2">
      <c r="C143" s="106">
        <v>50</v>
      </c>
      <c r="D143" s="110">
        <f t="shared" si="4"/>
        <v>538.49857142857138</v>
      </c>
      <c r="E143" s="2"/>
      <c r="F143" s="115">
        <f t="shared" si="9"/>
        <v>538.49857142857127</v>
      </c>
      <c r="H143" s="106">
        <v>50</v>
      </c>
      <c r="I143" s="394">
        <f t="shared" si="10"/>
        <v>538.49857142857127</v>
      </c>
      <c r="J143" s="110">
        <f t="shared" si="7"/>
        <v>538.49857142857138</v>
      </c>
      <c r="K143" s="411">
        <f t="shared" si="8"/>
        <v>0</v>
      </c>
    </row>
    <row r="144" spans="1:11" ht="15" customHeight="1" x14ac:dyDescent="0.2">
      <c r="I144" s="38"/>
    </row>
    <row r="145" spans="1:21" ht="15" customHeight="1" x14ac:dyDescent="0.2">
      <c r="D145" s="602">
        <f>D135/D134</f>
        <v>1.8444675324675315</v>
      </c>
      <c r="E145" s="603">
        <f>D138/D135</f>
        <v>2.0630597645468387</v>
      </c>
    </row>
    <row r="146" spans="1:21" ht="15" customHeight="1" x14ac:dyDescent="0.2"/>
    <row r="147" spans="1:21" ht="15" customHeight="1" x14ac:dyDescent="0.2">
      <c r="I147" s="38"/>
    </row>
    <row r="148" spans="1:21" ht="15" customHeight="1" x14ac:dyDescent="0.2">
      <c r="A148" s="64" t="s">
        <v>75</v>
      </c>
      <c r="B148" s="64" t="s">
        <v>73</v>
      </c>
    </row>
    <row r="149" spans="1:21" ht="15" customHeight="1" x14ac:dyDescent="0.2">
      <c r="A149" s="64"/>
      <c r="B149" s="64"/>
    </row>
    <row r="150" spans="1:21" ht="15" customHeight="1" x14ac:dyDescent="0.2">
      <c r="A150" s="64"/>
      <c r="B150" s="64" t="s">
        <v>76</v>
      </c>
    </row>
    <row r="151" spans="1:21" ht="15" customHeight="1" x14ac:dyDescent="0.2">
      <c r="A151" s="64"/>
      <c r="B151" s="64"/>
      <c r="L151" s="64" t="s">
        <v>580</v>
      </c>
    </row>
    <row r="152" spans="1:21" ht="15" customHeight="1" x14ac:dyDescent="0.2">
      <c r="I152" s="38"/>
      <c r="J152" s="764" t="s">
        <v>490</v>
      </c>
      <c r="K152" s="251"/>
      <c r="L152" s="765" t="s">
        <v>489</v>
      </c>
      <c r="U152" s="844" t="s">
        <v>579</v>
      </c>
    </row>
    <row r="153" spans="1:21" ht="15" customHeight="1" x14ac:dyDescent="0.2">
      <c r="G153" s="368"/>
      <c r="H153" s="369" t="s">
        <v>35</v>
      </c>
      <c r="I153" s="38"/>
      <c r="J153" s="727"/>
      <c r="M153" t="s">
        <v>94</v>
      </c>
      <c r="U153" s="843" t="s">
        <v>578</v>
      </c>
    </row>
    <row r="154" spans="1:21"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1" ht="15" customHeight="1" x14ac:dyDescent="0.2">
      <c r="B155" s="133"/>
      <c r="C155" s="117" t="s">
        <v>32</v>
      </c>
      <c r="D155" s="392" t="s">
        <v>33</v>
      </c>
      <c r="E155" s="392" t="s">
        <v>35</v>
      </c>
      <c r="F155" s="521" t="s">
        <v>395</v>
      </c>
      <c r="G155" s="370" t="s">
        <v>35</v>
      </c>
      <c r="H155" s="371" t="s">
        <v>286</v>
      </c>
      <c r="J155" s="483" t="str">
        <f>E57</f>
        <v xml:space="preserve"> 5-8-13</v>
      </c>
      <c r="K155" s="148" t="s">
        <v>77</v>
      </c>
      <c r="M155" s="102" t="s">
        <v>52</v>
      </c>
      <c r="N155" s="514" t="s">
        <v>382</v>
      </c>
      <c r="U155" s="521" t="s">
        <v>577</v>
      </c>
    </row>
    <row r="156" spans="1:21" ht="15" customHeight="1" x14ac:dyDescent="0.2">
      <c r="B156" s="133" t="s">
        <v>21</v>
      </c>
      <c r="C156" s="407" t="s">
        <v>53</v>
      </c>
      <c r="D156" s="252" t="s">
        <v>392</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1" ht="15" customHeight="1" x14ac:dyDescent="0.2">
      <c r="B157" s="106">
        <v>1</v>
      </c>
      <c r="C157" s="119">
        <f>D157+E157</f>
        <v>28.897332653061206</v>
      </c>
      <c r="D157" s="119">
        <f t="shared" ref="D157:D166" si="11">I134</f>
        <v>27.500632653061206</v>
      </c>
      <c r="E157" s="118">
        <v>1.3967000000000001</v>
      </c>
      <c r="F157" s="152">
        <f>E157/C157</f>
        <v>4.8333180669948177E-2</v>
      </c>
      <c r="G157" s="374">
        <f t="shared" ref="G157:G166" si="12">G30</f>
        <v>0.8</v>
      </c>
      <c r="H157" s="375">
        <f>E157-G157</f>
        <v>0.59670000000000001</v>
      </c>
      <c r="J157" s="402">
        <f>E59</f>
        <v>4.8333333333333332E-2</v>
      </c>
      <c r="K157" s="738">
        <f>J157-F157</f>
        <v>1.5266338515562694E-7</v>
      </c>
      <c r="M157" s="402">
        <f t="shared" ref="M157:M166" si="13">C157/D157</f>
        <v>1.0507879225041947</v>
      </c>
      <c r="N157" s="143">
        <f>D157*M157</f>
        <v>28.897332653061206</v>
      </c>
      <c r="O157" s="287">
        <f t="shared" ref="O157:O166" si="14">N157-C157</f>
        <v>0</v>
      </c>
      <c r="P157" s="288">
        <f t="shared" ref="P157:P166" si="15">J157/F157</f>
        <v>1.0000031585627729</v>
      </c>
      <c r="Q157" s="740">
        <f t="shared" ref="Q157:Q166" si="16">P157*E157</f>
        <v>1.396704411564625</v>
      </c>
      <c r="R157" s="267" t="s">
        <v>200</v>
      </c>
      <c r="U157" s="152">
        <f>E157/D157</f>
        <v>5.0787922504194741E-2</v>
      </c>
    </row>
    <row r="158" spans="1:21" ht="15" customHeight="1" x14ac:dyDescent="0.2">
      <c r="B158" s="106">
        <v>2</v>
      </c>
      <c r="C158" s="120">
        <f t="shared" ref="C158:C166" si="17">D158+E158</f>
        <v>53.766926530612189</v>
      </c>
      <c r="D158" s="120">
        <f t="shared" si="11"/>
        <v>50.720326530612191</v>
      </c>
      <c r="E158" s="118">
        <v>3.0466000000000002</v>
      </c>
      <c r="F158" s="153">
        <f t="shared" ref="F158:F166" si="18">E158/C158</f>
        <v>5.6663086335526712E-2</v>
      </c>
      <c r="G158" s="376">
        <f t="shared" si="12"/>
        <v>2.5</v>
      </c>
      <c r="H158" s="377">
        <f t="shared" ref="H158:H166" si="19">E158-G158</f>
        <v>0.5466000000000002</v>
      </c>
      <c r="J158" s="402">
        <f t="shared" ref="J158:J166" si="20">E60</f>
        <v>5.6666666666666671E-2</v>
      </c>
      <c r="K158" s="738">
        <f>J158-F158</f>
        <v>3.580331139958759E-6</v>
      </c>
      <c r="M158" s="402">
        <f t="shared" si="13"/>
        <v>1.0600666479968583</v>
      </c>
      <c r="N158" s="144">
        <f t="shared" ref="N158:N166" si="21">D158*M158</f>
        <v>53.766926530612189</v>
      </c>
      <c r="O158" s="287">
        <f t="shared" si="14"/>
        <v>0</v>
      </c>
      <c r="P158" s="288">
        <f>J158/F158</f>
        <v>1.0000631863064917</v>
      </c>
      <c r="Q158" s="741">
        <f t="shared" si="16"/>
        <v>3.0467925034013579</v>
      </c>
      <c r="R158" s="267" t="s">
        <v>312</v>
      </c>
      <c r="U158" s="152">
        <f t="shared" ref="U158:U166" si="22">E158/D158</f>
        <v>6.0066647996858388E-2</v>
      </c>
    </row>
    <row r="159" spans="1:21" ht="15" customHeight="1" x14ac:dyDescent="0.2">
      <c r="B159" s="106">
        <v>3</v>
      </c>
      <c r="C159" s="121">
        <f t="shared" si="17"/>
        <v>75.395110204081618</v>
      </c>
      <c r="D159" s="121">
        <f t="shared" si="11"/>
        <v>70.469510204081615</v>
      </c>
      <c r="E159" s="118">
        <v>4.9256000000000002</v>
      </c>
      <c r="F159" s="154">
        <f t="shared" si="18"/>
        <v>6.5330496721435205E-2</v>
      </c>
      <c r="G159" s="378">
        <f t="shared" si="12"/>
        <v>4.8</v>
      </c>
      <c r="H159" s="379">
        <f t="shared" si="19"/>
        <v>0.12560000000000038</v>
      </c>
      <c r="J159" s="402">
        <f t="shared" si="20"/>
        <v>6.5333333333333327E-2</v>
      </c>
      <c r="K159" s="738">
        <f t="shared" ref="K159:K166" si="23">J159-F159</f>
        <v>2.836611898121566E-6</v>
      </c>
      <c r="M159" s="402">
        <f t="shared" si="13"/>
        <v>1.0698968956323853</v>
      </c>
      <c r="N159" s="145">
        <f t="shared" si="21"/>
        <v>75.395110204081618</v>
      </c>
      <c r="O159" s="287">
        <f t="shared" si="14"/>
        <v>0</v>
      </c>
      <c r="P159" s="288">
        <f t="shared" si="15"/>
        <v>1.0000434194142165</v>
      </c>
      <c r="Q159" s="254">
        <f t="shared" si="16"/>
        <v>4.9258138666666653</v>
      </c>
      <c r="R159" s="267" t="s">
        <v>143</v>
      </c>
      <c r="U159" s="152">
        <f t="shared" si="22"/>
        <v>6.9896895632385256E-2</v>
      </c>
    </row>
    <row r="160" spans="1:21" ht="15" customHeight="1" x14ac:dyDescent="0.2">
      <c r="B160" s="106">
        <v>4</v>
      </c>
      <c r="C160" s="121">
        <f t="shared" si="17"/>
        <v>95.123126530612268</v>
      </c>
      <c r="D160" s="121">
        <f t="shared" si="11"/>
        <v>88.020326530612266</v>
      </c>
      <c r="E160" s="118">
        <v>7.1028000000000002</v>
      </c>
      <c r="F160" s="154">
        <f t="shared" si="18"/>
        <v>7.4669538933985688E-2</v>
      </c>
      <c r="G160" s="378">
        <f t="shared" si="12"/>
        <v>7.4</v>
      </c>
      <c r="H160" s="379">
        <f t="shared" si="19"/>
        <v>-0.29720000000000013</v>
      </c>
      <c r="J160" s="402">
        <f t="shared" si="20"/>
        <v>7.4666666666666673E-2</v>
      </c>
      <c r="K160" s="738">
        <f t="shared" si="23"/>
        <v>-2.8722673190151315E-6</v>
      </c>
      <c r="M160" s="402">
        <f t="shared" si="13"/>
        <v>1.0806949971667026</v>
      </c>
      <c r="N160" s="145">
        <f t="shared" si="21"/>
        <v>95.123126530612254</v>
      </c>
      <c r="O160" s="287">
        <f t="shared" si="14"/>
        <v>0</v>
      </c>
      <c r="P160" s="288">
        <f t="shared" si="15"/>
        <v>0.9999615336138401</v>
      </c>
      <c r="Q160" s="254">
        <f t="shared" si="16"/>
        <v>7.1025267809523838</v>
      </c>
      <c r="R160" s="88" t="s">
        <v>142</v>
      </c>
      <c r="U160" s="152">
        <f t="shared" si="22"/>
        <v>8.069499716670267E-2</v>
      </c>
    </row>
    <row r="161" spans="1:21" ht="15" customHeight="1" x14ac:dyDescent="0.2">
      <c r="B161" s="106">
        <v>5</v>
      </c>
      <c r="C161" s="120">
        <f t="shared" si="17"/>
        <v>114.07521836734696</v>
      </c>
      <c r="D161" s="120">
        <f t="shared" si="11"/>
        <v>104.64491836734696</v>
      </c>
      <c r="E161" s="118">
        <v>9.4303000000000008</v>
      </c>
      <c r="F161" s="153">
        <f t="shared" si="18"/>
        <v>8.2667385037409155E-2</v>
      </c>
      <c r="G161" s="376">
        <f t="shared" si="12"/>
        <v>9.8000000000000007</v>
      </c>
      <c r="H161" s="377">
        <f t="shared" si="19"/>
        <v>-0.36969999999999992</v>
      </c>
      <c r="J161" s="402">
        <f t="shared" si="20"/>
        <v>8.2666666666666666E-2</v>
      </c>
      <c r="K161" s="738">
        <f t="shared" si="23"/>
        <v>-7.1837074248903843E-7</v>
      </c>
      <c r="M161" s="402">
        <f t="shared" si="13"/>
        <v>1.0901171327488235</v>
      </c>
      <c r="N161" s="144">
        <f t="shared" si="21"/>
        <v>114.07521836734696</v>
      </c>
      <c r="O161" s="287">
        <f t="shared" si="14"/>
        <v>0</v>
      </c>
      <c r="P161" s="288">
        <f t="shared" si="15"/>
        <v>0.99999131010685571</v>
      </c>
      <c r="Q161" s="741">
        <f t="shared" si="16"/>
        <v>9.4302180517006828</v>
      </c>
      <c r="U161" s="152">
        <f t="shared" si="22"/>
        <v>9.0117132748823464E-2</v>
      </c>
    </row>
    <row r="162" spans="1:21" ht="15" customHeight="1" x14ac:dyDescent="0.2">
      <c r="B162" s="106">
        <v>10</v>
      </c>
      <c r="C162" s="121">
        <f t="shared" si="17"/>
        <v>191.01057142857155</v>
      </c>
      <c r="D162" s="121">
        <f t="shared" si="11"/>
        <v>169.99857142857155</v>
      </c>
      <c r="E162" s="118">
        <v>21.012</v>
      </c>
      <c r="F162" s="154">
        <f t="shared" si="18"/>
        <v>0.11000438270432296</v>
      </c>
      <c r="G162" s="378">
        <f t="shared" si="12"/>
        <v>20.6</v>
      </c>
      <c r="H162" s="379">
        <f t="shared" si="19"/>
        <v>0.41199999999999903</v>
      </c>
      <c r="J162" s="402">
        <f t="shared" si="20"/>
        <v>0.11</v>
      </c>
      <c r="K162" s="738">
        <f t="shared" si="23"/>
        <v>-4.3827043229582863E-6</v>
      </c>
      <c r="M162" s="402">
        <f t="shared" si="13"/>
        <v>1.1236010386641904</v>
      </c>
      <c r="N162" s="145">
        <f t="shared" si="21"/>
        <v>191.01057142857155</v>
      </c>
      <c r="O162" s="287">
        <f t="shared" si="14"/>
        <v>0</v>
      </c>
      <c r="P162" s="288">
        <f t="shared" si="15"/>
        <v>0.99996015882081046</v>
      </c>
      <c r="Q162" s="254">
        <f t="shared" si="16"/>
        <v>21.011162857142871</v>
      </c>
      <c r="U162" s="152">
        <f t="shared" si="22"/>
        <v>0.12360103866419037</v>
      </c>
    </row>
    <row r="163" spans="1:21" ht="15" customHeight="1" x14ac:dyDescent="0.2">
      <c r="B163" s="106">
        <v>20</v>
      </c>
      <c r="C163" s="121">
        <f t="shared" si="17"/>
        <v>317.24741428571434</v>
      </c>
      <c r="D163" s="121">
        <f t="shared" si="11"/>
        <v>276.00571428571436</v>
      </c>
      <c r="E163" s="118">
        <v>41.241700000000002</v>
      </c>
      <c r="F163" s="154">
        <f t="shared" si="18"/>
        <v>0.12999853786942941</v>
      </c>
      <c r="G163" s="378">
        <f t="shared" si="12"/>
        <v>36.4</v>
      </c>
      <c r="H163" s="379">
        <f t="shared" si="19"/>
        <v>4.841700000000003</v>
      </c>
      <c r="J163" s="402">
        <f t="shared" si="20"/>
        <v>0.13</v>
      </c>
      <c r="K163" s="738">
        <f t="shared" si="23"/>
        <v>1.462130570589748E-6</v>
      </c>
      <c r="M163" s="402">
        <f t="shared" si="13"/>
        <v>1.1494233556241071</v>
      </c>
      <c r="N163" s="145">
        <f t="shared" si="21"/>
        <v>317.24741428571434</v>
      </c>
      <c r="O163" s="287">
        <f t="shared" si="14"/>
        <v>0</v>
      </c>
      <c r="P163" s="288">
        <f t="shared" si="15"/>
        <v>1.0000112472847353</v>
      </c>
      <c r="Q163" s="254">
        <f t="shared" si="16"/>
        <v>41.24216385714287</v>
      </c>
      <c r="U163" s="152">
        <f t="shared" si="22"/>
        <v>0.14942335562410713</v>
      </c>
    </row>
    <row r="164" spans="1:21" ht="15" customHeight="1" x14ac:dyDescent="0.2">
      <c r="B164" s="106">
        <v>30</v>
      </c>
      <c r="C164" s="121">
        <f>D164+E164</f>
        <v>429.18742857142854</v>
      </c>
      <c r="D164" s="121">
        <f t="shared" si="11"/>
        <v>373.39142857142855</v>
      </c>
      <c r="E164" s="118">
        <v>55.795999999999999</v>
      </c>
      <c r="F164" s="154">
        <f t="shared" si="18"/>
        <v>0.13000380786016899</v>
      </c>
      <c r="G164" s="378">
        <f t="shared" si="12"/>
        <v>50</v>
      </c>
      <c r="H164" s="379">
        <f t="shared" si="19"/>
        <v>5.7959999999999994</v>
      </c>
      <c r="J164" s="402">
        <f t="shared" si="20"/>
        <v>0.13</v>
      </c>
      <c r="K164" s="738">
        <f t="shared" si="23"/>
        <v>-3.8078601689861546E-6</v>
      </c>
      <c r="M164" s="402">
        <f t="shared" si="13"/>
        <v>1.1494303182412942</v>
      </c>
      <c r="N164" s="145">
        <f t="shared" si="21"/>
        <v>429.1874285714286</v>
      </c>
      <c r="O164" s="287">
        <f t="shared" si="14"/>
        <v>0</v>
      </c>
      <c r="P164" s="288">
        <f t="shared" si="15"/>
        <v>0.99997070962588197</v>
      </c>
      <c r="Q164" s="254">
        <f t="shared" si="16"/>
        <v>55.794365714285711</v>
      </c>
      <c r="U164" s="152">
        <f t="shared" si="22"/>
        <v>0.1494303182412941</v>
      </c>
    </row>
    <row r="165" spans="1:21" ht="15" customHeight="1" x14ac:dyDescent="0.2">
      <c r="B165" s="106">
        <v>40</v>
      </c>
      <c r="C165" s="121">
        <f t="shared" si="17"/>
        <v>530.1191142857142</v>
      </c>
      <c r="D165" s="121">
        <f t="shared" si="11"/>
        <v>461.20571428571418</v>
      </c>
      <c r="E165" s="118">
        <v>68.913399999999996</v>
      </c>
      <c r="F165" s="154">
        <f t="shared" si="18"/>
        <v>0.12999606719115259</v>
      </c>
      <c r="G165" s="378">
        <f t="shared" si="12"/>
        <v>63.3</v>
      </c>
      <c r="H165" s="379">
        <f t="shared" si="19"/>
        <v>5.6133999999999986</v>
      </c>
      <c r="J165" s="402">
        <f t="shared" si="20"/>
        <v>0.13</v>
      </c>
      <c r="K165" s="738">
        <f t="shared" si="23"/>
        <v>3.9328088474177569E-6</v>
      </c>
      <c r="M165" s="402">
        <f t="shared" si="13"/>
        <v>1.1494200914373507</v>
      </c>
      <c r="N165" s="145">
        <f t="shared" si="21"/>
        <v>530.1191142857142</v>
      </c>
      <c r="O165" s="287">
        <f t="shared" si="14"/>
        <v>0</v>
      </c>
      <c r="P165" s="288">
        <f t="shared" si="15"/>
        <v>1.0000302532909833</v>
      </c>
      <c r="Q165" s="254">
        <f t="shared" si="16"/>
        <v>68.915484857142843</v>
      </c>
      <c r="U165" s="152">
        <f t="shared" si="22"/>
        <v>0.14942009143735058</v>
      </c>
    </row>
    <row r="166" spans="1:21" ht="15" customHeight="1" x14ac:dyDescent="0.2">
      <c r="B166" s="106">
        <v>50</v>
      </c>
      <c r="C166" s="120">
        <f t="shared" si="17"/>
        <v>618.96567142857123</v>
      </c>
      <c r="D166" s="120">
        <f t="shared" si="11"/>
        <v>538.49857142857127</v>
      </c>
      <c r="E166" s="118">
        <v>80.467100000000002</v>
      </c>
      <c r="F166" s="153">
        <f t="shared" si="18"/>
        <v>0.13000252471882995</v>
      </c>
      <c r="G166" s="380">
        <f t="shared" si="12"/>
        <v>74.7</v>
      </c>
      <c r="H166" s="381">
        <f t="shared" si="19"/>
        <v>5.7670999999999992</v>
      </c>
      <c r="J166" s="403">
        <f t="shared" si="20"/>
        <v>0.13</v>
      </c>
      <c r="K166" s="739">
        <f t="shared" si="23"/>
        <v>-2.5247188299437617E-6</v>
      </c>
      <c r="M166" s="403">
        <f t="shared" si="13"/>
        <v>1.1494286229702162</v>
      </c>
      <c r="N166" s="146">
        <f t="shared" si="21"/>
        <v>618.96567142857123</v>
      </c>
      <c r="O166" s="287">
        <f t="shared" si="14"/>
        <v>0</v>
      </c>
      <c r="P166" s="288">
        <f t="shared" si="15"/>
        <v>0.99998057946308805</v>
      </c>
      <c r="Q166" s="741">
        <f t="shared" si="16"/>
        <v>80.465537285714248</v>
      </c>
      <c r="U166" s="152">
        <f t="shared" si="22"/>
        <v>0.14942862297021617</v>
      </c>
    </row>
    <row r="167" spans="1:21" ht="15" customHeight="1" x14ac:dyDescent="0.2">
      <c r="K167" s="38"/>
    </row>
    <row r="168" spans="1:21" ht="15" customHeight="1" x14ac:dyDescent="0.2">
      <c r="K168" s="38"/>
    </row>
    <row r="169" spans="1:21" ht="15" customHeight="1" x14ac:dyDescent="0.2">
      <c r="A169" s="90" t="s">
        <v>80</v>
      </c>
      <c r="B169" s="64" t="s">
        <v>81</v>
      </c>
      <c r="I169" s="38"/>
    </row>
    <row r="170" spans="1:21" ht="15" customHeight="1" x14ac:dyDescent="0.2">
      <c r="A170" s="90"/>
      <c r="B170" s="28" t="s">
        <v>190</v>
      </c>
      <c r="I170" s="38"/>
      <c r="M170" s="348" t="s">
        <v>399</v>
      </c>
    </row>
    <row r="171" spans="1:21" ht="15" customHeight="1" x14ac:dyDescent="0.2">
      <c r="A171" s="90"/>
      <c r="B171" s="28" t="s">
        <v>189</v>
      </c>
      <c r="I171" s="38"/>
    </row>
    <row r="172" spans="1:21" ht="15" customHeight="1" x14ac:dyDescent="0.2">
      <c r="A172" s="90"/>
      <c r="B172" s="28" t="s">
        <v>188</v>
      </c>
      <c r="I172" s="38"/>
    </row>
    <row r="173" spans="1:21" ht="15" customHeight="1" x14ac:dyDescent="0.2">
      <c r="A173" s="90"/>
      <c r="B173" s="28" t="s">
        <v>187</v>
      </c>
      <c r="I173" s="38"/>
    </row>
    <row r="174" spans="1:21" ht="15" customHeight="1" x14ac:dyDescent="0.2">
      <c r="A174" s="90"/>
      <c r="B174" s="28" t="s">
        <v>191</v>
      </c>
      <c r="I174" s="38"/>
    </row>
    <row r="175" spans="1:21" ht="15" customHeight="1" x14ac:dyDescent="0.2">
      <c r="A175" s="90"/>
      <c r="B175" s="28" t="s">
        <v>192</v>
      </c>
      <c r="I175" s="38"/>
    </row>
    <row r="176" spans="1:21" ht="15" customHeight="1" x14ac:dyDescent="0.2">
      <c r="B176" s="28" t="s">
        <v>193</v>
      </c>
      <c r="I176" s="38"/>
      <c r="P176" t="s">
        <v>419</v>
      </c>
    </row>
    <row r="177" spans="1:22" ht="15" customHeight="1" x14ac:dyDescent="0.2">
      <c r="B177" s="28" t="s">
        <v>164</v>
      </c>
      <c r="I177" s="38"/>
      <c r="P177" s="28" t="s">
        <v>420</v>
      </c>
      <c r="U177" s="535" t="s">
        <v>384</v>
      </c>
    </row>
    <row r="178" spans="1:22" ht="15" customHeight="1" x14ac:dyDescent="0.2">
      <c r="B178" s="348" t="s">
        <v>407</v>
      </c>
      <c r="I178" s="38"/>
      <c r="U178" s="348" t="s">
        <v>404</v>
      </c>
    </row>
    <row r="179" spans="1:22" ht="15" customHeight="1" x14ac:dyDescent="0.2">
      <c r="B179" s="530" t="s">
        <v>405</v>
      </c>
      <c r="E179" s="537">
        <v>0</v>
      </c>
      <c r="F179" s="538" t="s">
        <v>406</v>
      </c>
      <c r="I179" s="441" t="str">
        <f>IF($B$12="12sxf450-psh","calc gas force = 73c, linear = 77","calc gas force = 69c, linear = 73")</f>
        <v>calc gas force = 73c, linear = 77</v>
      </c>
      <c r="M179" s="307" t="s">
        <v>152</v>
      </c>
      <c r="P179" s="308" t="s">
        <v>154</v>
      </c>
      <c r="U179" s="535" t="s">
        <v>400</v>
      </c>
    </row>
    <row r="180" spans="1:22" ht="15" customHeight="1" x14ac:dyDescent="0.2">
      <c r="D180" s="214" t="s">
        <v>163</v>
      </c>
      <c r="I180" s="38"/>
      <c r="P180" s="804" t="s">
        <v>540</v>
      </c>
      <c r="U180" s="535" t="s">
        <v>401</v>
      </c>
    </row>
    <row r="181" spans="1:22" ht="15" customHeight="1" x14ac:dyDescent="0.2">
      <c r="C181" s="27" t="s">
        <v>457</v>
      </c>
      <c r="F181" s="38"/>
      <c r="G181" s="38"/>
      <c r="H181" s="38"/>
      <c r="I181" s="38"/>
      <c r="J181" s="359" t="s">
        <v>269</v>
      </c>
      <c r="K181" s="214"/>
      <c r="L181" s="214"/>
      <c r="M181" s="117" t="s">
        <v>194</v>
      </c>
      <c r="O181" s="38"/>
      <c r="P181" s="503" t="s">
        <v>374</v>
      </c>
      <c r="Q181" s="38"/>
      <c r="U181" s="535" t="s">
        <v>402</v>
      </c>
    </row>
    <row r="182" spans="1:22" ht="15" customHeight="1" x14ac:dyDescent="0.2">
      <c r="B182" s="116"/>
      <c r="C182" s="91" t="s">
        <v>56</v>
      </c>
      <c r="D182" s="91" t="s">
        <v>56</v>
      </c>
      <c r="E182" s="205" t="s">
        <v>56</v>
      </c>
      <c r="F182" s="199" t="s">
        <v>56</v>
      </c>
      <c r="G182" s="199" t="s">
        <v>56</v>
      </c>
      <c r="H182" s="253" t="str">
        <f>J155</f>
        <v xml:space="preserve"> 5-8-13</v>
      </c>
      <c r="I182" s="117" t="s">
        <v>34</v>
      </c>
      <c r="J182" s="309" t="s">
        <v>103</v>
      </c>
      <c r="K182" s="309" t="s">
        <v>104</v>
      </c>
      <c r="L182" s="91" t="s">
        <v>22</v>
      </c>
      <c r="M182" s="117" t="s">
        <v>22</v>
      </c>
      <c r="O182" s="91" t="s">
        <v>34</v>
      </c>
      <c r="P182" s="91" t="s">
        <v>34</v>
      </c>
      <c r="Q182" s="205" t="s">
        <v>34</v>
      </c>
      <c r="R182" s="426" t="s">
        <v>290</v>
      </c>
      <c r="S182" s="427" t="s">
        <v>289</v>
      </c>
      <c r="U182" s="91" t="s">
        <v>34</v>
      </c>
      <c r="V182" s="536" t="s">
        <v>403</v>
      </c>
    </row>
    <row r="183" spans="1:22"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c r="U183" s="95" t="s">
        <v>155</v>
      </c>
    </row>
    <row r="184" spans="1:22" ht="15" customHeight="1" x14ac:dyDescent="0.2">
      <c r="A184" s="534" t="s">
        <v>398</v>
      </c>
      <c r="B184" s="116" t="s">
        <v>21</v>
      </c>
      <c r="C184" s="113" t="s">
        <v>158</v>
      </c>
      <c r="D184" s="418" t="s">
        <v>158</v>
      </c>
      <c r="E184" s="113" t="s">
        <v>158</v>
      </c>
      <c r="F184" s="252" t="s">
        <v>396</v>
      </c>
      <c r="G184" s="252" t="s">
        <v>397</v>
      </c>
      <c r="H184" s="312" t="s">
        <v>158</v>
      </c>
      <c r="I184" s="113" t="s">
        <v>157</v>
      </c>
      <c r="J184" s="113" t="s">
        <v>161</v>
      </c>
      <c r="K184" s="113" t="s">
        <v>158</v>
      </c>
      <c r="L184" s="418" t="s">
        <v>161</v>
      </c>
      <c r="M184" s="113" t="s">
        <v>161</v>
      </c>
      <c r="O184" s="113" t="s">
        <v>157</v>
      </c>
      <c r="P184" s="418" t="s">
        <v>157</v>
      </c>
      <c r="Q184" s="206" t="s">
        <v>157</v>
      </c>
      <c r="R184" s="430" t="s">
        <v>288</v>
      </c>
      <c r="S184" s="431" t="s">
        <v>316</v>
      </c>
      <c r="U184" s="113" t="s">
        <v>157</v>
      </c>
    </row>
    <row r="185" spans="1:22" ht="15" customHeight="1" x14ac:dyDescent="0.2">
      <c r="A185" s="531">
        <v>120.80628571428572</v>
      </c>
      <c r="B185" s="106">
        <v>1</v>
      </c>
      <c r="C185" s="119">
        <f>(D185-J185)</f>
        <v>46.897332653061198</v>
      </c>
      <c r="D185" s="698">
        <f>(F185+G185+M185+L185)+$E$179</f>
        <v>115.8973326530612</v>
      </c>
      <c r="E185" s="119">
        <f>F185+G185</f>
        <v>28.897332653061206</v>
      </c>
      <c r="F185" s="522">
        <f>D157</f>
        <v>27.500632653061206</v>
      </c>
      <c r="G185" s="526">
        <f t="shared" ref="G185:G194" si="24">E157</f>
        <v>1.3967000000000001</v>
      </c>
      <c r="H185" s="155">
        <f>G185/E185</f>
        <v>4.8333180669948177E-2</v>
      </c>
      <c r="I185" s="119">
        <f>O185</f>
        <v>73.900000000000006</v>
      </c>
      <c r="J185" s="694">
        <v>69</v>
      </c>
      <c r="K185" s="690">
        <v>4</v>
      </c>
      <c r="L185" s="507">
        <f>P185</f>
        <v>14</v>
      </c>
      <c r="M185" s="497">
        <v>73</v>
      </c>
      <c r="O185" s="497">
        <f>U185-4</f>
        <v>73.900000000000006</v>
      </c>
      <c r="P185" s="742">
        <v>14</v>
      </c>
      <c r="Q185" s="422">
        <v>121</v>
      </c>
      <c r="R185" s="432">
        <f>D185-Q185</f>
        <v>-5.1026673469388015</v>
      </c>
      <c r="S185" s="433">
        <f t="shared" ref="S185:S194" si="25">G185-G30</f>
        <v>0.59670000000000001</v>
      </c>
      <c r="U185" s="417">
        <v>77.900000000000006</v>
      </c>
    </row>
    <row r="186" spans="1:22" ht="15" customHeight="1" x14ac:dyDescent="0.2">
      <c r="A186" s="532">
        <v>145.33585714285715</v>
      </c>
      <c r="B186" s="106">
        <v>2</v>
      </c>
      <c r="C186" s="120">
        <f t="shared" ref="C186:C193" si="26">(D186-J186)</f>
        <v>71.766926530612182</v>
      </c>
      <c r="D186" s="699">
        <f t="shared" ref="D186:D193" si="27">(F186+G186+M186+L186)+$E$179</f>
        <v>140.76692653061218</v>
      </c>
      <c r="E186" s="120">
        <f t="shared" ref="E186:E191" si="28">F186+G186</f>
        <v>53.766926530612189</v>
      </c>
      <c r="F186" s="523">
        <f t="shared" ref="F186:F194" si="29">D158</f>
        <v>50.720326530612191</v>
      </c>
      <c r="G186" s="527">
        <f t="shared" si="24"/>
        <v>3.0466000000000002</v>
      </c>
      <c r="H186" s="156">
        <f t="shared" ref="H186:H194" si="30">G186/E186</f>
        <v>5.6663086335526712E-2</v>
      </c>
      <c r="I186" s="120">
        <f t="shared" ref="I186:I194" si="31">O186</f>
        <v>73.7</v>
      </c>
      <c r="J186" s="695">
        <f>J185</f>
        <v>69</v>
      </c>
      <c r="K186" s="691">
        <v>4</v>
      </c>
      <c r="L186" s="506">
        <f>L185</f>
        <v>14</v>
      </c>
      <c r="M186" s="242">
        <v>73</v>
      </c>
      <c r="O186" s="242">
        <f t="shared" ref="O186:O194" si="32">U186-4</f>
        <v>73.7</v>
      </c>
      <c r="P186" s="419">
        <v>16.2</v>
      </c>
      <c r="Q186" s="423">
        <v>147.19999999999999</v>
      </c>
      <c r="R186" s="434">
        <f t="shared" ref="R186:R194" si="33">D186-Q186</f>
        <v>-6.4330734693878071</v>
      </c>
      <c r="S186" s="435">
        <f t="shared" si="25"/>
        <v>0.5466000000000002</v>
      </c>
      <c r="U186" s="242">
        <v>77.7</v>
      </c>
    </row>
    <row r="187" spans="1:22" ht="15" customHeight="1" x14ac:dyDescent="0.2">
      <c r="A187" s="533">
        <v>167.0047142857143</v>
      </c>
      <c r="B187" s="106">
        <v>3</v>
      </c>
      <c r="C187" s="121">
        <f t="shared" si="26"/>
        <v>93.395110204081618</v>
      </c>
      <c r="D187" s="700">
        <f>(F187+G187+M187+L187)+$E$179</f>
        <v>162.39511020408162</v>
      </c>
      <c r="E187" s="121">
        <f t="shared" si="28"/>
        <v>75.395110204081618</v>
      </c>
      <c r="F187" s="524">
        <f t="shared" si="29"/>
        <v>70.469510204081615</v>
      </c>
      <c r="G187" s="528">
        <f t="shared" si="24"/>
        <v>4.9256000000000002</v>
      </c>
      <c r="H187" s="157">
        <f t="shared" si="30"/>
        <v>6.5330496721435205E-2</v>
      </c>
      <c r="I187" s="121">
        <f t="shared" si="31"/>
        <v>73.400000000000006</v>
      </c>
      <c r="J187" s="696">
        <f t="shared" ref="J187:L194" si="34">J186</f>
        <v>69</v>
      </c>
      <c r="K187" s="692">
        <v>4</v>
      </c>
      <c r="L187" s="318">
        <f t="shared" si="34"/>
        <v>14</v>
      </c>
      <c r="M187" s="243">
        <v>73</v>
      </c>
      <c r="O187" s="243">
        <f t="shared" si="32"/>
        <v>73.400000000000006</v>
      </c>
      <c r="P187" s="243">
        <v>17.399999999999999</v>
      </c>
      <c r="Q187" s="424">
        <v>169.8</v>
      </c>
      <c r="R187" s="436">
        <f t="shared" si="33"/>
        <v>-7.4048897959183932</v>
      </c>
      <c r="S187" s="437">
        <f t="shared" si="25"/>
        <v>0.12560000000000038</v>
      </c>
      <c r="U187" s="243">
        <v>77.400000000000006</v>
      </c>
    </row>
    <row r="188" spans="1:22" ht="15" customHeight="1" x14ac:dyDescent="0.2">
      <c r="A188" s="533">
        <v>187.1728571428572</v>
      </c>
      <c r="B188" s="106">
        <v>4</v>
      </c>
      <c r="C188" s="121">
        <f t="shared" si="26"/>
        <v>113.12312653061227</v>
      </c>
      <c r="D188" s="700">
        <f>(F188+G188+M188+L188)+$E$179</f>
        <v>182.12312653061227</v>
      </c>
      <c r="E188" s="121">
        <f t="shared" si="28"/>
        <v>95.123126530612268</v>
      </c>
      <c r="F188" s="524">
        <f t="shared" si="29"/>
        <v>88.020326530612266</v>
      </c>
      <c r="G188" s="528">
        <f t="shared" si="24"/>
        <v>7.1028000000000002</v>
      </c>
      <c r="H188" s="157">
        <f t="shared" si="30"/>
        <v>7.4669538933985688E-2</v>
      </c>
      <c r="I188" s="121">
        <f t="shared" si="31"/>
        <v>73.2</v>
      </c>
      <c r="J188" s="696">
        <f t="shared" si="34"/>
        <v>69</v>
      </c>
      <c r="K188" s="692">
        <v>4</v>
      </c>
      <c r="L188" s="318">
        <f t="shared" si="34"/>
        <v>14</v>
      </c>
      <c r="M188" s="243">
        <v>73</v>
      </c>
      <c r="O188" s="243">
        <f t="shared" si="32"/>
        <v>73.2</v>
      </c>
      <c r="P188" s="243">
        <v>16.100000000000001</v>
      </c>
      <c r="Q188" s="424">
        <v>188.9</v>
      </c>
      <c r="R188" s="436">
        <f t="shared" si="33"/>
        <v>-6.7768734693877377</v>
      </c>
      <c r="S188" s="437">
        <f t="shared" si="25"/>
        <v>-0.29720000000000013</v>
      </c>
      <c r="U188" s="243">
        <v>77.2</v>
      </c>
    </row>
    <row r="189" spans="1:22" ht="15" customHeight="1" x14ac:dyDescent="0.2">
      <c r="A189" s="532">
        <v>206.99128571428571</v>
      </c>
      <c r="B189" s="106">
        <v>5</v>
      </c>
      <c r="C189" s="120">
        <f t="shared" si="26"/>
        <v>132.07521836734696</v>
      </c>
      <c r="D189" s="699">
        <f t="shared" si="27"/>
        <v>201.07521836734696</v>
      </c>
      <c r="E189" s="120">
        <f t="shared" si="28"/>
        <v>114.07521836734696</v>
      </c>
      <c r="F189" s="523">
        <f t="shared" si="29"/>
        <v>104.64491836734696</v>
      </c>
      <c r="G189" s="527">
        <f t="shared" si="24"/>
        <v>9.4303000000000008</v>
      </c>
      <c r="H189" s="156">
        <f t="shared" si="30"/>
        <v>8.2667385037409155E-2</v>
      </c>
      <c r="I189" s="120">
        <f t="shared" si="31"/>
        <v>73.2</v>
      </c>
      <c r="J189" s="695">
        <f t="shared" si="34"/>
        <v>69</v>
      </c>
      <c r="K189" s="691">
        <v>4</v>
      </c>
      <c r="L189" s="317">
        <f t="shared" si="34"/>
        <v>14</v>
      </c>
      <c r="M189" s="242">
        <v>73</v>
      </c>
      <c r="O189" s="242">
        <f t="shared" si="32"/>
        <v>73.2</v>
      </c>
      <c r="P189" s="242">
        <v>16.100000000000001</v>
      </c>
      <c r="Q189" s="423">
        <v>207.7</v>
      </c>
      <c r="R189" s="434">
        <f t="shared" si="33"/>
        <v>-6.6247816326530256</v>
      </c>
      <c r="S189" s="435">
        <f t="shared" si="25"/>
        <v>-0.36969999999999992</v>
      </c>
      <c r="U189" s="242">
        <v>77.2</v>
      </c>
    </row>
    <row r="190" spans="1:22" ht="15" customHeight="1" x14ac:dyDescent="0.2">
      <c r="A190" s="533">
        <v>284.3085714285715</v>
      </c>
      <c r="B190" s="106">
        <v>10</v>
      </c>
      <c r="C190" s="121">
        <f t="shared" si="26"/>
        <v>209.01057142857155</v>
      </c>
      <c r="D190" s="700">
        <f t="shared" si="27"/>
        <v>278.01057142857155</v>
      </c>
      <c r="E190" s="121">
        <f t="shared" si="28"/>
        <v>191.01057142857155</v>
      </c>
      <c r="F190" s="524">
        <f t="shared" si="29"/>
        <v>169.99857142857155</v>
      </c>
      <c r="G190" s="528">
        <f t="shared" si="24"/>
        <v>21.012</v>
      </c>
      <c r="H190" s="157">
        <f t="shared" si="30"/>
        <v>0.11000438270432296</v>
      </c>
      <c r="I190" s="121">
        <f t="shared" si="31"/>
        <v>73.400000000000006</v>
      </c>
      <c r="J190" s="696">
        <f t="shared" si="34"/>
        <v>69</v>
      </c>
      <c r="K190" s="692">
        <v>4</v>
      </c>
      <c r="L190" s="318">
        <f t="shared" si="34"/>
        <v>14</v>
      </c>
      <c r="M190" s="243">
        <v>73</v>
      </c>
      <c r="O190" s="243">
        <f t="shared" si="32"/>
        <v>73.400000000000006</v>
      </c>
      <c r="P190" s="243">
        <v>19.2</v>
      </c>
      <c r="Q190" s="424">
        <v>287</v>
      </c>
      <c r="R190" s="436">
        <f t="shared" si="33"/>
        <v>-8.9894285714284479</v>
      </c>
      <c r="S190" s="437">
        <f t="shared" si="25"/>
        <v>0.41199999999999903</v>
      </c>
      <c r="U190" s="243">
        <v>77.400000000000006</v>
      </c>
    </row>
    <row r="191" spans="1:22" ht="15" customHeight="1" x14ac:dyDescent="0.2">
      <c r="A191" s="533">
        <v>409.34371428571433</v>
      </c>
      <c r="B191" s="106">
        <v>20</v>
      </c>
      <c r="C191" s="121">
        <f t="shared" si="26"/>
        <v>335.24741428571434</v>
      </c>
      <c r="D191" s="700">
        <f t="shared" si="27"/>
        <v>404.24741428571434</v>
      </c>
      <c r="E191" s="121">
        <f t="shared" si="28"/>
        <v>317.24741428571434</v>
      </c>
      <c r="F191" s="524">
        <f t="shared" si="29"/>
        <v>276.00571428571436</v>
      </c>
      <c r="G191" s="528">
        <f t="shared" si="24"/>
        <v>41.241700000000002</v>
      </c>
      <c r="H191" s="157">
        <f t="shared" si="30"/>
        <v>0.12999853786942941</v>
      </c>
      <c r="I191" s="121">
        <f t="shared" si="31"/>
        <v>73.3</v>
      </c>
      <c r="J191" s="696">
        <f t="shared" si="34"/>
        <v>69</v>
      </c>
      <c r="K191" s="692">
        <v>4</v>
      </c>
      <c r="L191" s="318">
        <f t="shared" si="34"/>
        <v>14</v>
      </c>
      <c r="M191" s="243">
        <v>73</v>
      </c>
      <c r="O191" s="243">
        <f t="shared" si="32"/>
        <v>73.3</v>
      </c>
      <c r="P191" s="243">
        <v>23.7</v>
      </c>
      <c r="Q191" s="424">
        <v>414.3</v>
      </c>
      <c r="R191" s="436">
        <f t="shared" si="33"/>
        <v>-10.052585714285669</v>
      </c>
      <c r="S191" s="437">
        <f t="shared" si="25"/>
        <v>4.841700000000003</v>
      </c>
      <c r="U191" s="243">
        <v>77.3</v>
      </c>
    </row>
    <row r="192" spans="1:22" ht="15" customHeight="1" x14ac:dyDescent="0.2">
      <c r="A192" s="533">
        <v>521.88742857142847</v>
      </c>
      <c r="B192" s="106">
        <v>30</v>
      </c>
      <c r="C192" s="121">
        <f t="shared" si="26"/>
        <v>447.18742857142854</v>
      </c>
      <c r="D192" s="700">
        <f t="shared" si="27"/>
        <v>516.18742857142854</v>
      </c>
      <c r="E192" s="121">
        <f>F192+G192</f>
        <v>429.18742857142854</v>
      </c>
      <c r="F192" s="524">
        <f t="shared" si="29"/>
        <v>373.39142857142855</v>
      </c>
      <c r="G192" s="528">
        <f t="shared" si="24"/>
        <v>55.795999999999999</v>
      </c>
      <c r="H192" s="157">
        <f t="shared" si="30"/>
        <v>0.13000380786016899</v>
      </c>
      <c r="I192" s="121">
        <f t="shared" si="31"/>
        <v>73.900000000000006</v>
      </c>
      <c r="J192" s="696">
        <f t="shared" si="34"/>
        <v>69</v>
      </c>
      <c r="K192" s="692">
        <v>4</v>
      </c>
      <c r="L192" s="318">
        <f t="shared" si="34"/>
        <v>14</v>
      </c>
      <c r="M192" s="243">
        <v>73</v>
      </c>
      <c r="O192" s="243">
        <f t="shared" si="32"/>
        <v>73.900000000000006</v>
      </c>
      <c r="P192" s="243">
        <v>24.8</v>
      </c>
      <c r="Q192" s="424">
        <v>524.9</v>
      </c>
      <c r="R192" s="436">
        <f t="shared" si="33"/>
        <v>-8.7125714285714366</v>
      </c>
      <c r="S192" s="437">
        <f t="shared" si="25"/>
        <v>5.7959999999999994</v>
      </c>
      <c r="U192" s="243">
        <v>77.900000000000006</v>
      </c>
    </row>
    <row r="193" spans="1:21" ht="15" customHeight="1" x14ac:dyDescent="0.2">
      <c r="A193" s="533">
        <v>623.20271428571414</v>
      </c>
      <c r="B193" s="106">
        <v>40</v>
      </c>
      <c r="C193" s="121">
        <f t="shared" si="26"/>
        <v>549.1191142857142</v>
      </c>
      <c r="D193" s="700">
        <f t="shared" si="27"/>
        <v>618.1191142857142</v>
      </c>
      <c r="E193" s="121">
        <f t="shared" ref="E193:E194" si="35">F193+G193</f>
        <v>530.1191142857142</v>
      </c>
      <c r="F193" s="524">
        <f t="shared" si="29"/>
        <v>461.20571428571418</v>
      </c>
      <c r="G193" s="528">
        <f t="shared" si="24"/>
        <v>68.913399999999996</v>
      </c>
      <c r="H193" s="157">
        <f t="shared" si="30"/>
        <v>0.12999606719115259</v>
      </c>
      <c r="I193" s="121">
        <f t="shared" si="31"/>
        <v>74.3</v>
      </c>
      <c r="J193" s="696">
        <f t="shared" si="34"/>
        <v>69</v>
      </c>
      <c r="K193" s="692">
        <v>4</v>
      </c>
      <c r="L193" s="318">
        <f t="shared" si="34"/>
        <v>14</v>
      </c>
      <c r="M193" s="243">
        <v>74</v>
      </c>
      <c r="O193" s="243">
        <f t="shared" si="32"/>
        <v>74.3</v>
      </c>
      <c r="P193" s="243">
        <v>25.3</v>
      </c>
      <c r="Q193" s="424">
        <v>628.9</v>
      </c>
      <c r="R193" s="436">
        <f t="shared" si="33"/>
        <v>-10.780885714285773</v>
      </c>
      <c r="S193" s="437">
        <f t="shared" si="25"/>
        <v>5.6133999999999986</v>
      </c>
      <c r="U193" s="243">
        <v>78.3</v>
      </c>
    </row>
    <row r="194" spans="1:21" ht="15" customHeight="1" thickBot="1" x14ac:dyDescent="0.25">
      <c r="A194" s="532">
        <v>713.3775714285714</v>
      </c>
      <c r="B194" s="106">
        <v>50</v>
      </c>
      <c r="C194" s="120">
        <f>(D194-J194)</f>
        <v>638.96567142857123</v>
      </c>
      <c r="D194" s="701">
        <f>(F194+G194+M194+L194)+$E$179</f>
        <v>707.96567142857123</v>
      </c>
      <c r="E194" s="120">
        <f t="shared" si="35"/>
        <v>618.96567142857123</v>
      </c>
      <c r="F194" s="525">
        <f t="shared" si="29"/>
        <v>538.49857142857127</v>
      </c>
      <c r="G194" s="529">
        <f t="shared" si="24"/>
        <v>80.467100000000002</v>
      </c>
      <c r="H194" s="156">
        <f t="shared" si="30"/>
        <v>0.13000252471882995</v>
      </c>
      <c r="I194" s="120">
        <f t="shared" si="31"/>
        <v>75.599999999999994</v>
      </c>
      <c r="J194" s="697">
        <f t="shared" si="34"/>
        <v>69</v>
      </c>
      <c r="K194" s="693">
        <v>4</v>
      </c>
      <c r="L194" s="553">
        <f t="shared" si="34"/>
        <v>14</v>
      </c>
      <c r="M194" s="554">
        <v>75</v>
      </c>
      <c r="O194" s="554">
        <f t="shared" si="32"/>
        <v>75.599999999999994</v>
      </c>
      <c r="P194" s="242">
        <v>26.2</v>
      </c>
      <c r="Q194" s="423">
        <v>718.8</v>
      </c>
      <c r="R194" s="438">
        <f t="shared" si="33"/>
        <v>-10.834328571428728</v>
      </c>
      <c r="S194" s="439">
        <f t="shared" si="25"/>
        <v>5.7670999999999992</v>
      </c>
      <c r="U194" s="242">
        <v>79.599999999999994</v>
      </c>
    </row>
    <row r="195" spans="1:21" ht="15" customHeight="1" x14ac:dyDescent="0.2">
      <c r="B195" s="535" t="s">
        <v>408</v>
      </c>
      <c r="I195" s="38"/>
      <c r="J195" s="560"/>
      <c r="K195" s="561"/>
      <c r="L195" s="565"/>
      <c r="M195" s="565"/>
      <c r="N195" s="565"/>
      <c r="O195" s="572"/>
    </row>
    <row r="196" spans="1:21" ht="15" customHeight="1" thickBot="1" x14ac:dyDescent="0.25">
      <c r="I196" s="38"/>
      <c r="J196" s="568" t="s">
        <v>422</v>
      </c>
      <c r="K196" s="569"/>
      <c r="L196" s="573"/>
      <c r="M196" s="573"/>
      <c r="N196" s="573"/>
      <c r="O196" s="574"/>
    </row>
    <row r="197" spans="1:21" x14ac:dyDescent="0.2">
      <c r="A197" s="90" t="s">
        <v>82</v>
      </c>
      <c r="B197" s="64" t="s">
        <v>83</v>
      </c>
      <c r="I197" s="38"/>
    </row>
    <row r="198" spans="1:21" ht="15" customHeight="1" x14ac:dyDescent="0.2">
      <c r="B198" s="348" t="s">
        <v>409</v>
      </c>
    </row>
    <row r="199" spans="1:21" ht="15" customHeight="1" x14ac:dyDescent="0.2">
      <c r="B199" s="348" t="s">
        <v>418</v>
      </c>
      <c r="C199" s="40"/>
      <c r="I199" s="38"/>
    </row>
    <row r="200" spans="1:21" ht="15" customHeight="1" x14ac:dyDescent="0.2">
      <c r="B200" s="90" t="s">
        <v>91</v>
      </c>
      <c r="C200" s="40"/>
      <c r="D200" s="40"/>
      <c r="E200" s="40"/>
      <c r="F200" s="40"/>
      <c r="G200" s="40"/>
      <c r="H200" s="348" t="s">
        <v>410</v>
      </c>
      <c r="I200" s="40"/>
      <c r="J200" s="40"/>
      <c r="K200" s="40"/>
      <c r="L200" s="40"/>
      <c r="O200" s="505" t="s">
        <v>377</v>
      </c>
      <c r="Q200" s="28" t="s">
        <v>168</v>
      </c>
    </row>
    <row r="201" spans="1:21" ht="15" customHeight="1" x14ac:dyDescent="0.2">
      <c r="B201" s="64" t="s">
        <v>92</v>
      </c>
      <c r="C201" s="40"/>
      <c r="D201" s="40"/>
      <c r="E201" s="40"/>
      <c r="F201" s="306" t="s">
        <v>153</v>
      </c>
      <c r="G201" s="40"/>
      <c r="H201" s="40"/>
      <c r="I201" s="28" t="s">
        <v>24</v>
      </c>
      <c r="J201" s="40"/>
      <c r="K201" s="40"/>
      <c r="Q201" s="28" t="s">
        <v>169</v>
      </c>
    </row>
    <row r="202" spans="1:21" ht="15" customHeight="1" x14ac:dyDescent="0.2">
      <c r="B202" s="90" t="s">
        <v>93</v>
      </c>
      <c r="D202" s="56"/>
      <c r="H202" s="31" t="s">
        <v>11</v>
      </c>
      <c r="I202" s="32"/>
      <c r="J202" s="32"/>
      <c r="K202" s="33"/>
      <c r="L202" s="31" t="s">
        <v>16</v>
      </c>
      <c r="M202" s="32"/>
      <c r="N202" s="33"/>
      <c r="O202" s="84"/>
      <c r="P202" s="91" t="s">
        <v>56</v>
      </c>
      <c r="Q202" t="s">
        <v>117</v>
      </c>
    </row>
    <row r="203" spans="1:21"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21"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21" ht="15" customHeight="1" x14ac:dyDescent="0.2">
      <c r="A205" s="249">
        <v>1.318727877981887</v>
      </c>
      <c r="B205" s="259" t="s">
        <v>6</v>
      </c>
      <c r="C205" s="12" t="s">
        <v>9</v>
      </c>
      <c r="D205" s="260">
        <v>2.52</v>
      </c>
      <c r="E205" s="255">
        <v>1</v>
      </c>
      <c r="F205" s="249">
        <v>1.2936545696563342</v>
      </c>
      <c r="G205" s="122">
        <v>1.2881376052727664</v>
      </c>
      <c r="H205" s="34">
        <f>(D206*2.20462*25.4*12)</f>
        <v>2822.2663391999999</v>
      </c>
      <c r="I205" s="5">
        <f>F205*D$205*SQRT(4*D$207*H$205/32.2)/12</f>
        <v>46.897332653061198</v>
      </c>
      <c r="J205" s="1"/>
      <c r="K205" s="22"/>
      <c r="L205" s="96">
        <v>1</v>
      </c>
      <c r="M205" s="92">
        <f>L205*I205</f>
        <v>46.897332653061198</v>
      </c>
      <c r="N205" s="13"/>
      <c r="O205" s="84">
        <v>1</v>
      </c>
      <c r="P205" s="92">
        <f>C185</f>
        <v>46.897332653061198</v>
      </c>
      <c r="Q205" s="254">
        <f>P205/M205</f>
        <v>1</v>
      </c>
      <c r="R205" s="254">
        <f>G205*Q205</f>
        <v>1.2881376052727664</v>
      </c>
      <c r="S205" s="267" t="s">
        <v>138</v>
      </c>
    </row>
    <row r="206" spans="1:21" ht="15" customHeight="1" x14ac:dyDescent="0.2">
      <c r="A206" s="250">
        <v>0.99768586877996679</v>
      </c>
      <c r="B206" s="259" t="s">
        <v>7</v>
      </c>
      <c r="C206" s="12" t="s">
        <v>10</v>
      </c>
      <c r="D206" s="444">
        <v>4.2</v>
      </c>
      <c r="E206" s="255">
        <v>2</v>
      </c>
      <c r="F206" s="250">
        <v>0.98983894396877459</v>
      </c>
      <c r="G206" s="123">
        <v>0.98708046177699083</v>
      </c>
      <c r="H206" s="35"/>
      <c r="I206" s="5">
        <f t="shared" ref="I206:I214" si="36">F206*D$205*SQRT(4*D$207*H$205/32.2)/12</f>
        <v>35.883463265306091</v>
      </c>
      <c r="J206" s="1"/>
      <c r="K206" s="22"/>
      <c r="L206" s="97">
        <v>2</v>
      </c>
      <c r="M206" s="93">
        <f>L206*I206</f>
        <v>71.766926530612182</v>
      </c>
      <c r="N206" s="13"/>
      <c r="O206" s="84">
        <v>2</v>
      </c>
      <c r="P206" s="93">
        <f t="shared" ref="P206:P214" si="37">C186</f>
        <v>71.766926530612182</v>
      </c>
      <c r="Q206" s="254">
        <f t="shared" ref="Q206:Q214" si="38">P206/M206</f>
        <v>1</v>
      </c>
      <c r="R206" s="254">
        <f t="shared" ref="R206:R214" si="39">G206*Q206</f>
        <v>0.98708046177699083</v>
      </c>
      <c r="S206" s="267" t="s">
        <v>139</v>
      </c>
    </row>
    <row r="207" spans="1:21" ht="15" customHeight="1" x14ac:dyDescent="0.2">
      <c r="A207" s="249">
        <v>0.86436776766957812</v>
      </c>
      <c r="B207" s="261" t="s">
        <v>8</v>
      </c>
      <c r="C207" s="262" t="s">
        <v>15</v>
      </c>
      <c r="D207" s="263">
        <v>85</v>
      </c>
      <c r="E207" s="255">
        <v>3</v>
      </c>
      <c r="F207" s="249">
        <v>0.85876249432550311</v>
      </c>
      <c r="G207" s="122">
        <v>0.85692350619764723</v>
      </c>
      <c r="H207" s="35"/>
      <c r="I207" s="5">
        <f t="shared" si="36"/>
        <v>31.131703401360539</v>
      </c>
      <c r="J207" s="1"/>
      <c r="K207" s="22"/>
      <c r="L207" s="98">
        <v>3</v>
      </c>
      <c r="M207" s="94">
        <f t="shared" ref="M207:M213" si="40">L207*I207</f>
        <v>93.395110204081618</v>
      </c>
      <c r="N207" s="13"/>
      <c r="O207" s="84">
        <v>3</v>
      </c>
      <c r="P207" s="94">
        <f t="shared" si="37"/>
        <v>93.395110204081618</v>
      </c>
      <c r="Q207" s="254">
        <f t="shared" si="38"/>
        <v>1</v>
      </c>
      <c r="R207" s="254">
        <f t="shared" si="39"/>
        <v>0.85692350619764723</v>
      </c>
    </row>
    <row r="208" spans="1:21" ht="15" customHeight="1" x14ac:dyDescent="0.2">
      <c r="A208" s="249">
        <v>0.78735948303413783</v>
      </c>
      <c r="E208" s="30">
        <v>4</v>
      </c>
      <c r="F208" s="249">
        <v>0.78012032503401796</v>
      </c>
      <c r="G208" s="122">
        <v>0.77874108393812602</v>
      </c>
      <c r="H208" s="35"/>
      <c r="I208" s="5">
        <f t="shared" si="36"/>
        <v>28.280781632653071</v>
      </c>
      <c r="J208" s="1"/>
      <c r="K208" s="22"/>
      <c r="L208" s="98">
        <v>4</v>
      </c>
      <c r="M208" s="94">
        <f t="shared" si="40"/>
        <v>113.12312653061228</v>
      </c>
      <c r="N208" s="13"/>
      <c r="O208" s="84">
        <v>4</v>
      </c>
      <c r="P208" s="94">
        <f t="shared" si="37"/>
        <v>113.12312653061227</v>
      </c>
      <c r="Q208" s="254">
        <f t="shared" si="38"/>
        <v>0.99999999999999989</v>
      </c>
      <c r="R208" s="254">
        <f t="shared" si="39"/>
        <v>0.77874108393812591</v>
      </c>
    </row>
    <row r="209" spans="1:19" ht="15" customHeight="1" x14ac:dyDescent="0.2">
      <c r="A209" s="250">
        <v>0.73922515099416275</v>
      </c>
      <c r="B209" s="268" t="s">
        <v>411</v>
      </c>
      <c r="E209" s="30">
        <v>5</v>
      </c>
      <c r="F209" s="250">
        <v>0.72865427568458441</v>
      </c>
      <c r="G209" s="123">
        <v>0.72755088280787095</v>
      </c>
      <c r="H209" s="35"/>
      <c r="I209" s="5">
        <f t="shared" si="36"/>
        <v>26.415043673469395</v>
      </c>
      <c r="J209" s="1"/>
      <c r="K209" s="22"/>
      <c r="L209" s="97">
        <v>5</v>
      </c>
      <c r="M209" s="93">
        <f t="shared" si="40"/>
        <v>132.07521836734696</v>
      </c>
      <c r="N209" s="13"/>
      <c r="O209" s="84">
        <v>5</v>
      </c>
      <c r="P209" s="93">
        <f t="shared" si="37"/>
        <v>132.07521836734696</v>
      </c>
      <c r="Q209" s="254">
        <f t="shared" si="38"/>
        <v>1</v>
      </c>
      <c r="R209" s="254">
        <f t="shared" si="39"/>
        <v>0.72755088280787095</v>
      </c>
    </row>
    <row r="210" spans="1:19" ht="15" customHeight="1" x14ac:dyDescent="0.2">
      <c r="A210" s="249">
        <v>0.58289093125700386</v>
      </c>
      <c r="B210" s="42" t="s">
        <v>412</v>
      </c>
      <c r="E210" s="30">
        <v>10</v>
      </c>
      <c r="F210" s="249">
        <v>0.57655193918028469</v>
      </c>
      <c r="G210" s="122">
        <v>0.57600024274192796</v>
      </c>
      <c r="H210" s="35"/>
      <c r="I210" s="5">
        <f t="shared" si="36"/>
        <v>20.901057142857152</v>
      </c>
      <c r="J210" s="1"/>
      <c r="K210" s="22"/>
      <c r="L210" s="98">
        <v>10</v>
      </c>
      <c r="M210" s="94">
        <f t="shared" si="40"/>
        <v>209.01057142857152</v>
      </c>
      <c r="N210" s="13"/>
      <c r="O210" s="84">
        <v>10</v>
      </c>
      <c r="P210" s="94">
        <f t="shared" si="37"/>
        <v>209.01057142857155</v>
      </c>
      <c r="Q210" s="254">
        <f t="shared" si="38"/>
        <v>1.0000000000000002</v>
      </c>
      <c r="R210" s="254">
        <f t="shared" si="39"/>
        <v>0.57600024274192807</v>
      </c>
    </row>
    <row r="211" spans="1:19" ht="15" customHeight="1" x14ac:dyDescent="0.2">
      <c r="A211" s="249">
        <v>0.46389907308779216</v>
      </c>
      <c r="E211" s="30">
        <v>20</v>
      </c>
      <c r="F211" s="249">
        <v>0.46238701107436592</v>
      </c>
      <c r="G211" s="122">
        <v>0.46211116285518744</v>
      </c>
      <c r="H211" s="35"/>
      <c r="I211" s="5">
        <f t="shared" si="36"/>
        <v>16.762370714285719</v>
      </c>
      <c r="J211" s="1"/>
      <c r="K211" s="22"/>
      <c r="L211" s="98">
        <v>20</v>
      </c>
      <c r="M211" s="94">
        <f t="shared" si="40"/>
        <v>335.2474142857144</v>
      </c>
      <c r="N211" s="13"/>
      <c r="O211" s="84">
        <v>20</v>
      </c>
      <c r="P211" s="94">
        <f t="shared" si="37"/>
        <v>335.24741428571434</v>
      </c>
      <c r="Q211" s="254">
        <f t="shared" si="38"/>
        <v>0.99999999999999978</v>
      </c>
      <c r="R211" s="254">
        <f t="shared" si="39"/>
        <v>0.46211116285518733</v>
      </c>
    </row>
    <row r="212" spans="1:19" ht="15" customHeight="1" x14ac:dyDescent="0.2">
      <c r="A212" s="249">
        <v>0.41274932594331287</v>
      </c>
      <c r="E212" s="30">
        <v>30</v>
      </c>
      <c r="F212" s="249">
        <v>0.4111861860346353</v>
      </c>
      <c r="G212" s="122">
        <v>0.41100228722184973</v>
      </c>
      <c r="H212" s="35"/>
      <c r="I212" s="5">
        <f t="shared" si="36"/>
        <v>14.906247619047614</v>
      </c>
      <c r="J212" s="1"/>
      <c r="K212" s="22"/>
      <c r="L212" s="98">
        <v>30</v>
      </c>
      <c r="M212" s="94">
        <f>L212*I212</f>
        <v>447.18742857142843</v>
      </c>
      <c r="N212" s="13"/>
      <c r="O212" s="84">
        <v>30</v>
      </c>
      <c r="P212" s="94">
        <f t="shared" si="37"/>
        <v>447.18742857142854</v>
      </c>
      <c r="Q212" s="254">
        <f t="shared" si="38"/>
        <v>1.0000000000000002</v>
      </c>
      <c r="R212" s="254">
        <f t="shared" si="39"/>
        <v>0.41100228722184984</v>
      </c>
    </row>
    <row r="213" spans="1:19" ht="15" customHeight="1" x14ac:dyDescent="0.2">
      <c r="A213" s="249">
        <v>0.37943109730707253</v>
      </c>
      <c r="E213" s="30">
        <v>40</v>
      </c>
      <c r="F213" s="249">
        <v>0.37868382448131832</v>
      </c>
      <c r="G213" s="122">
        <v>0.37854590037172908</v>
      </c>
      <c r="H213" s="35"/>
      <c r="I213" s="5">
        <f t="shared" si="36"/>
        <v>13.727977857142855</v>
      </c>
      <c r="J213" s="1"/>
      <c r="K213" s="22"/>
      <c r="L213" s="98">
        <v>40</v>
      </c>
      <c r="M213" s="94">
        <f t="shared" si="40"/>
        <v>549.1191142857142</v>
      </c>
      <c r="N213" s="13"/>
      <c r="O213" s="84">
        <v>40</v>
      </c>
      <c r="P213" s="126">
        <f t="shared" si="37"/>
        <v>549.1191142857142</v>
      </c>
      <c r="Q213" s="254">
        <f t="shared" si="38"/>
        <v>1</v>
      </c>
      <c r="R213" s="254">
        <f t="shared" si="39"/>
        <v>0.37854590037172908</v>
      </c>
    </row>
    <row r="214" spans="1:19" ht="15" customHeight="1" x14ac:dyDescent="0.2">
      <c r="A214" s="250">
        <v>0.3532940253607032</v>
      </c>
      <c r="E214" s="30">
        <v>50</v>
      </c>
      <c r="F214" s="250">
        <v>0.35251508515938718</v>
      </c>
      <c r="G214" s="123">
        <v>0.35240474587171577</v>
      </c>
      <c r="H214" s="36"/>
      <c r="I214" s="23">
        <f t="shared" si="36"/>
        <v>12.779313428571426</v>
      </c>
      <c r="J214" s="24"/>
      <c r="K214" s="17"/>
      <c r="L214" s="99">
        <v>50</v>
      </c>
      <c r="M214" s="100">
        <f>L214*I214</f>
        <v>638.96567142857123</v>
      </c>
      <c r="N214" s="16"/>
      <c r="O214" s="107">
        <v>50</v>
      </c>
      <c r="P214" s="127">
        <f t="shared" si="37"/>
        <v>638.96567142857123</v>
      </c>
      <c r="Q214" s="254">
        <f t="shared" si="38"/>
        <v>1</v>
      </c>
      <c r="R214" s="254">
        <f t="shared" si="39"/>
        <v>0.35240474587171577</v>
      </c>
    </row>
    <row r="215" spans="1:19" ht="15" customHeight="1" thickBot="1" x14ac:dyDescent="0.25">
      <c r="E215" s="2"/>
      <c r="F215" s="160"/>
      <c r="G215" s="160"/>
      <c r="H215" s="40"/>
      <c r="I215" s="161"/>
      <c r="J215" s="40"/>
      <c r="K215" s="40"/>
      <c r="L215" s="162"/>
      <c r="M215" s="162"/>
      <c r="N215" s="66"/>
      <c r="O215" s="163"/>
      <c r="P215" s="162"/>
    </row>
    <row r="216" spans="1:19" ht="15" customHeight="1" x14ac:dyDescent="0.2">
      <c r="E216" s="560"/>
      <c r="F216" s="561"/>
      <c r="G216" s="562"/>
      <c r="H216" s="563"/>
      <c r="I216" s="564"/>
      <c r="J216" s="563"/>
      <c r="K216" s="565"/>
      <c r="L216" s="566"/>
      <c r="M216" s="567"/>
      <c r="N216" s="322" t="s">
        <v>167</v>
      </c>
      <c r="P216" s="162"/>
    </row>
    <row r="217" spans="1:19" ht="15" customHeight="1" thickBot="1" x14ac:dyDescent="0.25">
      <c r="E217" s="568" t="s">
        <v>423</v>
      </c>
      <c r="F217" s="569"/>
      <c r="G217" s="570"/>
      <c r="H217" s="570"/>
      <c r="I217" s="570"/>
      <c r="J217" s="570"/>
      <c r="K217" s="570"/>
      <c r="L217" s="570"/>
      <c r="M217" s="571"/>
      <c r="P217" s="41"/>
    </row>
    <row r="218" spans="1:19" ht="15" customHeight="1" x14ac:dyDescent="0.2">
      <c r="A218" s="90" t="s">
        <v>85</v>
      </c>
      <c r="B218" s="64" t="s">
        <v>86</v>
      </c>
    </row>
    <row r="219" spans="1:19" ht="15" customHeight="1" x14ac:dyDescent="0.2">
      <c r="B219" s="64" t="s">
        <v>372</v>
      </c>
    </row>
    <row r="220" spans="1:19" ht="15" customHeight="1" x14ac:dyDescent="0.2">
      <c r="B220" s="348" t="s">
        <v>413</v>
      </c>
    </row>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5-8-13</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41">D206</f>
        <v>4.2</v>
      </c>
      <c r="C227" s="1" t="s">
        <v>0</v>
      </c>
      <c r="D227" s="22"/>
      <c r="E227" s="71">
        <v>1</v>
      </c>
      <c r="F227" s="55">
        <f>F185</f>
        <v>27.500632653061206</v>
      </c>
      <c r="G227" s="46">
        <f>F227/E227</f>
        <v>27.500632653061206</v>
      </c>
      <c r="H227" s="178">
        <f t="shared" ref="H227:H236" si="42">SQRT(12*32.2*G227^2/(4*$B$228*($B$227*56)*$B$226^2))</f>
        <v>0.75858209158435086</v>
      </c>
      <c r="I227" s="718"/>
      <c r="J227" s="178">
        <v>0.75858209158435086</v>
      </c>
      <c r="K227" s="71">
        <v>1</v>
      </c>
      <c r="L227" s="549">
        <f>J227*$L$225</f>
        <v>0.75858209158435086</v>
      </c>
      <c r="M227" s="5">
        <f>(B227*2.20462*25.4*12)</f>
        <v>2822.2663391999999</v>
      </c>
      <c r="N227" s="74">
        <f t="shared" ref="N227:N236" si="43">L227*B$226*SQRT(4*B$228*M$227/32.2)/12</f>
        <v>27.499981469656959</v>
      </c>
      <c r="O227" s="597">
        <f>K227*N227</f>
        <v>27.499981469656959</v>
      </c>
      <c r="P227" s="591">
        <f t="shared" ref="P227:P236" si="44">M157</f>
        <v>1.0507879225041947</v>
      </c>
      <c r="Q227" s="60">
        <f>P227*O227</f>
        <v>28.896648397404686</v>
      </c>
      <c r="R227" s="166">
        <f>Q227-O227</f>
        <v>1.3966669277477273</v>
      </c>
      <c r="S227" s="169">
        <f>R227/Q227</f>
        <v>4.8333180669948114E-2</v>
      </c>
    </row>
    <row r="228" spans="2:19" ht="15" customHeight="1" x14ac:dyDescent="0.2">
      <c r="B228" s="271">
        <f t="shared" si="41"/>
        <v>85</v>
      </c>
      <c r="C228" s="77" t="s">
        <v>1</v>
      </c>
      <c r="D228" s="17"/>
      <c r="E228" s="70">
        <v>2</v>
      </c>
      <c r="F228" s="54">
        <f t="shared" ref="F228:F236" si="45">F186</f>
        <v>50.720326530612191</v>
      </c>
      <c r="G228" s="45">
        <f t="shared" ref="G228:G236" si="46">F228/E228</f>
        <v>25.360163265306095</v>
      </c>
      <c r="H228" s="179">
        <f t="shared" si="42"/>
        <v>0.69953902280772029</v>
      </c>
      <c r="I228" s="718"/>
      <c r="J228" s="179">
        <v>0.69953902280772029</v>
      </c>
      <c r="K228" s="70">
        <v>2</v>
      </c>
      <c r="L228" s="550">
        <f t="shared" ref="L228:L236" si="47">J228*$L$225</f>
        <v>0.69953902280772029</v>
      </c>
      <c r="N228" s="73">
        <f t="shared" si="43"/>
        <v>25.359562765759208</v>
      </c>
      <c r="O228" s="598">
        <f t="shared" ref="O228:O235" si="48">K228*N228</f>
        <v>50.719125531518415</v>
      </c>
      <c r="P228" s="591">
        <f t="shared" si="44"/>
        <v>1.0600666479968583</v>
      </c>
      <c r="Q228" s="59">
        <f t="shared" ref="Q228:Q236" si="49">P228*O228</f>
        <v>53.765653391528602</v>
      </c>
      <c r="R228" s="167">
        <f t="shared" ref="R228:R236" si="50">Q228-O228</f>
        <v>3.0465278600101868</v>
      </c>
      <c r="S228" s="170">
        <f t="shared" ref="S228:S236" si="51">R228/Q228</f>
        <v>5.6663086335526656E-2</v>
      </c>
    </row>
    <row r="229" spans="2:19" ht="15" customHeight="1" x14ac:dyDescent="0.2">
      <c r="E229" s="69">
        <v>3</v>
      </c>
      <c r="F229" s="50">
        <f t="shared" si="45"/>
        <v>70.469510204081615</v>
      </c>
      <c r="G229" s="44">
        <f t="shared" si="46"/>
        <v>23.489836734693871</v>
      </c>
      <c r="H229" s="180">
        <f t="shared" si="42"/>
        <v>0.64794762018667573</v>
      </c>
      <c r="I229" s="718"/>
      <c r="J229" s="180">
        <v>0.64794762018667573</v>
      </c>
      <c r="K229" s="69">
        <v>3</v>
      </c>
      <c r="L229" s="551">
        <f t="shared" si="47"/>
        <v>0.64794762018667573</v>
      </c>
      <c r="N229" s="72">
        <f t="shared" si="43"/>
        <v>23.489280522331669</v>
      </c>
      <c r="O229" s="599">
        <f>K229*N229</f>
        <v>70.467841566995006</v>
      </c>
      <c r="P229" s="591">
        <f t="shared" si="44"/>
        <v>1.0698968956323853</v>
      </c>
      <c r="Q229" s="58">
        <f t="shared" si="49"/>
        <v>75.393324934442717</v>
      </c>
      <c r="R229" s="168">
        <f>Q229-O229</f>
        <v>4.9254833674477112</v>
      </c>
      <c r="S229" s="171">
        <f t="shared" si="51"/>
        <v>6.5330496721435233E-2</v>
      </c>
    </row>
    <row r="230" spans="2:19" ht="15" customHeight="1" x14ac:dyDescent="0.2">
      <c r="E230" s="69">
        <v>4</v>
      </c>
      <c r="F230" s="50">
        <f t="shared" si="45"/>
        <v>88.020326530612266</v>
      </c>
      <c r="G230" s="44">
        <f t="shared" si="46"/>
        <v>22.005081632653066</v>
      </c>
      <c r="H230" s="180">
        <f t="shared" si="42"/>
        <v>0.60699188491302647</v>
      </c>
      <c r="I230" s="718"/>
      <c r="J230" s="180">
        <v>0.60699188491302647</v>
      </c>
      <c r="K230" s="69">
        <v>4</v>
      </c>
      <c r="L230" s="551">
        <f t="shared" si="47"/>
        <v>0.60699188491302647</v>
      </c>
      <c r="N230" s="72">
        <f t="shared" si="43"/>
        <v>22.004560577586844</v>
      </c>
      <c r="O230" s="599">
        <f t="shared" si="48"/>
        <v>88.018242310347375</v>
      </c>
      <c r="P230" s="591">
        <f t="shared" si="44"/>
        <v>1.0806949971667026</v>
      </c>
      <c r="Q230" s="58">
        <f t="shared" si="49"/>
        <v>95.120874124199005</v>
      </c>
      <c r="R230" s="168">
        <f>Q230-O230</f>
        <v>7.1026318138516302</v>
      </c>
      <c r="S230" s="171">
        <f t="shared" si="51"/>
        <v>7.4669538933985702E-2</v>
      </c>
    </row>
    <row r="231" spans="2:19" ht="15" customHeight="1" x14ac:dyDescent="0.2">
      <c r="E231" s="70">
        <v>5</v>
      </c>
      <c r="F231" s="54">
        <f t="shared" si="45"/>
        <v>104.64491836734696</v>
      </c>
      <c r="G231" s="45">
        <f t="shared" si="46"/>
        <v>20.928983673469393</v>
      </c>
      <c r="H231" s="179">
        <f t="shared" si="42"/>
        <v>0.57730861722513438</v>
      </c>
      <c r="I231" s="718"/>
      <c r="J231" s="179">
        <v>0.57730861722513438</v>
      </c>
      <c r="K231" s="70">
        <v>5</v>
      </c>
      <c r="L231" s="550">
        <f t="shared" si="47"/>
        <v>0.57730861722513438</v>
      </c>
      <c r="N231" s="73">
        <f t="shared" si="43"/>
        <v>20.92848809916724</v>
      </c>
      <c r="O231" s="598">
        <f t="shared" si="48"/>
        <v>104.6424404958362</v>
      </c>
      <c r="P231" s="591">
        <f t="shared" si="44"/>
        <v>1.0901171327488235</v>
      </c>
      <c r="Q231" s="59">
        <f t="shared" si="49"/>
        <v>114.07251719716034</v>
      </c>
      <c r="R231" s="167">
        <f t="shared" si="50"/>
        <v>9.4300767013241398</v>
      </c>
      <c r="S231" s="170">
        <f t="shared" si="51"/>
        <v>8.2667385037409238E-2</v>
      </c>
    </row>
    <row r="232" spans="2:19" ht="15" customHeight="1" x14ac:dyDescent="0.2">
      <c r="E232" s="69">
        <v>10</v>
      </c>
      <c r="F232" s="50">
        <f t="shared" si="45"/>
        <v>169.99857142857155</v>
      </c>
      <c r="G232" s="44">
        <f t="shared" si="46"/>
        <v>16.999857142857156</v>
      </c>
      <c r="H232" s="180">
        <f t="shared" si="42"/>
        <v>0.46892692800026425</v>
      </c>
      <c r="I232" s="718"/>
      <c r="J232" s="180">
        <v>0.46892692800026425</v>
      </c>
      <c r="K232" s="75">
        <v>10</v>
      </c>
      <c r="L232" s="551">
        <f t="shared" si="47"/>
        <v>0.46892692800026425</v>
      </c>
      <c r="M232" s="41"/>
      <c r="N232" s="76">
        <f t="shared" si="43"/>
        <v>16.999454605759713</v>
      </c>
      <c r="O232" s="600">
        <f t="shared" si="48"/>
        <v>169.99454605759712</v>
      </c>
      <c r="P232" s="591">
        <f t="shared" si="44"/>
        <v>1.1236010386641904</v>
      </c>
      <c r="Q232" s="58">
        <f t="shared" si="49"/>
        <v>191.00604851756367</v>
      </c>
      <c r="R232" s="168">
        <f t="shared" si="50"/>
        <v>21.01150245996655</v>
      </c>
      <c r="S232" s="171">
        <f t="shared" si="51"/>
        <v>0.11000438270432294</v>
      </c>
    </row>
    <row r="233" spans="2:19" ht="15" customHeight="1" x14ac:dyDescent="0.2">
      <c r="E233" s="69">
        <v>20</v>
      </c>
      <c r="F233" s="50">
        <f t="shared" si="45"/>
        <v>276.00571428571436</v>
      </c>
      <c r="G233" s="44">
        <f t="shared" si="46"/>
        <v>13.800285714285717</v>
      </c>
      <c r="H233" s="180">
        <f t="shared" si="42"/>
        <v>0.38066940981589348</v>
      </c>
      <c r="I233" s="718"/>
      <c r="J233" s="180">
        <v>0.38066940981589348</v>
      </c>
      <c r="K233" s="69">
        <v>20</v>
      </c>
      <c r="L233" s="551">
        <f t="shared" si="47"/>
        <v>0.38066940981589348</v>
      </c>
      <c r="N233" s="72">
        <f t="shared" si="43"/>
        <v>13.799958939365871</v>
      </c>
      <c r="O233" s="599">
        <f t="shared" si="48"/>
        <v>275.99917878731742</v>
      </c>
      <c r="P233" s="591">
        <f t="shared" si="44"/>
        <v>1.1494233556241071</v>
      </c>
      <c r="Q233" s="58">
        <f t="shared" si="49"/>
        <v>317.23990223121626</v>
      </c>
      <c r="R233" s="168">
        <f t="shared" si="50"/>
        <v>41.240723443898844</v>
      </c>
      <c r="S233" s="171">
        <f t="shared" si="51"/>
        <v>0.12999853786942939</v>
      </c>
    </row>
    <row r="234" spans="2:19" ht="15" customHeight="1" x14ac:dyDescent="0.2">
      <c r="E234" s="69">
        <v>30</v>
      </c>
      <c r="F234" s="50">
        <f t="shared" si="45"/>
        <v>373.39142857142855</v>
      </c>
      <c r="G234" s="44">
        <f t="shared" si="46"/>
        <v>12.446380952380952</v>
      </c>
      <c r="H234" s="180">
        <f t="shared" si="42"/>
        <v>0.34332307240436466</v>
      </c>
      <c r="I234" s="718"/>
      <c r="J234" s="180">
        <v>0.34332307240436466</v>
      </c>
      <c r="K234" s="69">
        <v>30</v>
      </c>
      <c r="L234" s="551">
        <f t="shared" si="47"/>
        <v>0.34332307240436466</v>
      </c>
      <c r="N234" s="72">
        <f t="shared" si="43"/>
        <v>12.446086236371274</v>
      </c>
      <c r="O234" s="599">
        <f t="shared" si="48"/>
        <v>373.38258709113819</v>
      </c>
      <c r="P234" s="591">
        <f t="shared" si="44"/>
        <v>1.1494303182412942</v>
      </c>
      <c r="Q234" s="58">
        <f t="shared" si="49"/>
        <v>429.17726590592468</v>
      </c>
      <c r="R234" s="168">
        <f t="shared" si="50"/>
        <v>55.794678814786494</v>
      </c>
      <c r="S234" s="171">
        <f t="shared" si="51"/>
        <v>0.13000380786016899</v>
      </c>
    </row>
    <row r="235" spans="2:19" ht="15" customHeight="1" x14ac:dyDescent="0.2">
      <c r="E235" s="69">
        <v>40</v>
      </c>
      <c r="F235" s="50">
        <f t="shared" si="45"/>
        <v>461.20571428571418</v>
      </c>
      <c r="G235" s="44">
        <f t="shared" si="46"/>
        <v>11.530142857142854</v>
      </c>
      <c r="H235" s="180">
        <f t="shared" si="42"/>
        <v>0.31804940617844929</v>
      </c>
      <c r="I235" s="718"/>
      <c r="J235" s="180">
        <v>0.31804940617844929</v>
      </c>
      <c r="K235" s="69">
        <v>40</v>
      </c>
      <c r="L235" s="551">
        <f t="shared" si="47"/>
        <v>0.31804940617844929</v>
      </c>
      <c r="N235" s="72">
        <f t="shared" si="43"/>
        <v>11.529869836599223</v>
      </c>
      <c r="O235" s="599">
        <f t="shared" si="48"/>
        <v>461.19479346396895</v>
      </c>
      <c r="P235" s="591">
        <f t="shared" si="44"/>
        <v>1.1494200914373507</v>
      </c>
      <c r="Q235" s="58">
        <f t="shared" si="49"/>
        <v>530.10656167378522</v>
      </c>
      <c r="R235" s="168">
        <f t="shared" si="50"/>
        <v>68.911768209816273</v>
      </c>
      <c r="S235" s="171">
        <f t="shared" si="51"/>
        <v>0.12999606719115261</v>
      </c>
    </row>
    <row r="236" spans="2:19" ht="15" customHeight="1" thickBot="1" x14ac:dyDescent="0.25">
      <c r="E236" s="70">
        <v>50</v>
      </c>
      <c r="F236" s="54">
        <f t="shared" si="45"/>
        <v>538.49857142857127</v>
      </c>
      <c r="G236" s="45">
        <f t="shared" si="46"/>
        <v>10.769971428571425</v>
      </c>
      <c r="H236" s="179">
        <f t="shared" si="42"/>
        <v>0.29708070922070173</v>
      </c>
      <c r="I236" s="718"/>
      <c r="J236" s="179">
        <v>0.29708070922070173</v>
      </c>
      <c r="K236" s="70">
        <v>50</v>
      </c>
      <c r="L236" s="556">
        <f t="shared" si="47"/>
        <v>0.29708070922070173</v>
      </c>
      <c r="N236" s="73">
        <f t="shared" si="43"/>
        <v>10.769716408014373</v>
      </c>
      <c r="O236" s="601">
        <f>K236*N236</f>
        <v>538.48582040071869</v>
      </c>
      <c r="P236" s="592">
        <f t="shared" si="44"/>
        <v>1.1494286229702162</v>
      </c>
      <c r="Q236" s="59">
        <f t="shared" si="49"/>
        <v>618.9510150321853</v>
      </c>
      <c r="R236" s="167">
        <f t="shared" si="50"/>
        <v>80.465194631466602</v>
      </c>
      <c r="S236" s="170">
        <f t="shared" si="51"/>
        <v>0.13000252471883003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323"/>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 t="shared" ref="R241:R250" si="52">E157</f>
        <v>1.3967000000000001</v>
      </c>
      <c r="S241" s="327">
        <f>R241/R227</f>
        <v>1.0000236794124753</v>
      </c>
    </row>
    <row r="242" spans="1:19" ht="15" customHeight="1" x14ac:dyDescent="0.2">
      <c r="E242" s="323"/>
      <c r="F242" s="324"/>
      <c r="G242" s="323"/>
      <c r="H242" s="325"/>
      <c r="I242" s="41"/>
      <c r="J242" s="325"/>
      <c r="K242" s="323"/>
      <c r="L242" s="325"/>
      <c r="M242" s="41"/>
      <c r="N242" s="324"/>
      <c r="O242" s="324"/>
      <c r="P242" s="326"/>
      <c r="Q242" s="324"/>
      <c r="R242" s="167">
        <f t="shared" si="52"/>
        <v>3.0466000000000002</v>
      </c>
      <c r="S242" s="327">
        <f t="shared" ref="S242:S250" si="53">R242/R228</f>
        <v>1.0000236794124748</v>
      </c>
    </row>
    <row r="243" spans="1:19" ht="15" customHeight="1" x14ac:dyDescent="0.2">
      <c r="R243" s="168">
        <f t="shared" si="52"/>
        <v>4.9256000000000002</v>
      </c>
      <c r="S243" s="327">
        <f t="shared" si="53"/>
        <v>1.0000236794124735</v>
      </c>
    </row>
    <row r="244" spans="1:19" ht="15" customHeight="1" x14ac:dyDescent="0.2">
      <c r="R244" s="168">
        <f t="shared" si="52"/>
        <v>7.1028000000000002</v>
      </c>
      <c r="S244" s="327">
        <f t="shared" si="53"/>
        <v>1.0000236794124739</v>
      </c>
    </row>
    <row r="245" spans="1:19" ht="15" customHeight="1" x14ac:dyDescent="0.2">
      <c r="R245" s="167">
        <f t="shared" si="52"/>
        <v>9.4303000000000008</v>
      </c>
      <c r="S245" s="327">
        <f t="shared" si="53"/>
        <v>1.0000236794124728</v>
      </c>
    </row>
    <row r="246" spans="1:19" ht="15" customHeight="1" x14ac:dyDescent="0.2">
      <c r="R246" s="168">
        <f t="shared" si="52"/>
        <v>21.012</v>
      </c>
      <c r="S246" s="327">
        <f t="shared" si="53"/>
        <v>1.0000236794124742</v>
      </c>
    </row>
    <row r="247" spans="1:19" ht="15" customHeight="1" x14ac:dyDescent="0.2">
      <c r="F247" s="41"/>
      <c r="G247" s="41"/>
      <c r="H247" s="41"/>
      <c r="I247" s="41"/>
      <c r="J247" s="41"/>
      <c r="K247" s="41"/>
      <c r="L247" s="41"/>
      <c r="M247" s="41"/>
      <c r="N247" s="41"/>
      <c r="O247" s="41"/>
      <c r="P247" s="41"/>
      <c r="R247" s="168">
        <f t="shared" si="52"/>
        <v>41.241700000000002</v>
      </c>
      <c r="S247" s="327">
        <f t="shared" si="53"/>
        <v>1.0000236794124742</v>
      </c>
    </row>
    <row r="248" spans="1:19" ht="15" customHeight="1" x14ac:dyDescent="0.2">
      <c r="B248" s="90"/>
      <c r="R248" s="168">
        <f t="shared" si="52"/>
        <v>55.795999999999999</v>
      </c>
      <c r="S248" s="327">
        <f t="shared" si="53"/>
        <v>1.0000236794124739</v>
      </c>
    </row>
    <row r="249" spans="1:19" ht="15" customHeight="1" x14ac:dyDescent="0.2">
      <c r="A249" s="90" t="s">
        <v>95</v>
      </c>
      <c r="B249" s="64" t="s">
        <v>383</v>
      </c>
      <c r="R249" s="168">
        <f t="shared" si="52"/>
        <v>68.913399999999996</v>
      </c>
      <c r="S249" s="327">
        <f t="shared" si="53"/>
        <v>1.0000236794124735</v>
      </c>
    </row>
    <row r="250" spans="1:19" ht="15" customHeight="1" x14ac:dyDescent="0.2">
      <c r="B250" s="348" t="s">
        <v>414</v>
      </c>
      <c r="R250" s="167">
        <f t="shared" si="52"/>
        <v>80.467100000000002</v>
      </c>
      <c r="S250" s="327">
        <f t="shared" si="53"/>
        <v>1.0000236794124731</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4.2</v>
      </c>
      <c r="C257" s="1" t="s">
        <v>0</v>
      </c>
      <c r="D257" s="22"/>
      <c r="E257" s="71">
        <v>1</v>
      </c>
      <c r="F257" s="166">
        <f t="shared" ref="F257:F266" si="54">G185</f>
        <v>1.3967000000000001</v>
      </c>
      <c r="G257" s="49">
        <f>F257/E257</f>
        <v>1.3967000000000001</v>
      </c>
      <c r="H257" s="178">
        <f>SQRT(12*32.2*G257^2/(4*$B$258*($B$257*56)*$B$256^2))</f>
        <v>3.8526808480455976E-2</v>
      </c>
      <c r="I257" s="718"/>
      <c r="J257" s="178">
        <v>3.8526808480455976E-2</v>
      </c>
      <c r="K257" s="71">
        <v>1</v>
      </c>
      <c r="L257" s="549">
        <f>J257*$L$255</f>
        <v>3.8526808480455976E-2</v>
      </c>
      <c r="M257" s="5">
        <f>(B257*2.20462*25.4*12)</f>
        <v>2822.2663391999999</v>
      </c>
      <c r="N257" s="74">
        <f>L257*B$256*SQRT(4*B$258*M$257/32.2)/12</f>
        <v>1.3966669277477293</v>
      </c>
      <c r="O257" s="218">
        <f>K257*N257</f>
        <v>1.3966669277477293</v>
      </c>
      <c r="Q257" s="218">
        <f t="shared" ref="Q257:Q266" si="55">E157</f>
        <v>1.3967000000000001</v>
      </c>
      <c r="R257" s="327">
        <f>Q257/O257</f>
        <v>1.0000236794124739</v>
      </c>
    </row>
    <row r="258" spans="2:18" ht="15" customHeight="1" x14ac:dyDescent="0.2">
      <c r="B258" s="271">
        <f>D207</f>
        <v>85</v>
      </c>
      <c r="C258" s="77" t="s">
        <v>1</v>
      </c>
      <c r="D258" s="17"/>
      <c r="E258" s="70">
        <v>2</v>
      </c>
      <c r="F258" s="167">
        <f t="shared" si="54"/>
        <v>3.0466000000000002</v>
      </c>
      <c r="G258" s="48">
        <f t="shared" ref="G258:G266" si="56">F258/E258</f>
        <v>1.5233000000000001</v>
      </c>
      <c r="H258" s="179">
        <f t="shared" ref="H258:H266" si="57">SQRT(12*32.2*G258^2/(4*$B$258*($B$257*56)*$B$256^2))</f>
        <v>4.2018964243057622E-2</v>
      </c>
      <c r="I258" s="718"/>
      <c r="J258" s="179">
        <v>4.2018964243057622E-2</v>
      </c>
      <c r="K258" s="70">
        <v>2</v>
      </c>
      <c r="L258" s="550">
        <f t="shared" ref="L258:L266" si="58">J258*$L$255</f>
        <v>4.2018964243057622E-2</v>
      </c>
      <c r="N258" s="73">
        <f t="shared" ref="N258:N266" si="59">L258*B$256*SQRT(4*B$258*M$257/32.2)/12</f>
        <v>1.5232639300050945</v>
      </c>
      <c r="O258" s="219">
        <f t="shared" ref="O258" si="60">K258*N258</f>
        <v>3.046527860010189</v>
      </c>
      <c r="Q258" s="219">
        <f t="shared" si="55"/>
        <v>3.0466000000000002</v>
      </c>
      <c r="R258" s="327">
        <f t="shared" ref="R258:R266" si="61">Q258/O258</f>
        <v>1.0000236794124742</v>
      </c>
    </row>
    <row r="259" spans="2:18" ht="15" customHeight="1" x14ac:dyDescent="0.2">
      <c r="E259" s="69">
        <v>3</v>
      </c>
      <c r="F259" s="168">
        <f t="shared" si="54"/>
        <v>4.9256000000000002</v>
      </c>
      <c r="G259" s="47">
        <f t="shared" si="56"/>
        <v>1.6418666666666668</v>
      </c>
      <c r="H259" s="180">
        <f t="shared" si="57"/>
        <v>4.5289527183440481E-2</v>
      </c>
      <c r="I259" s="718"/>
      <c r="J259" s="180">
        <v>4.5289527183440481E-2</v>
      </c>
      <c r="K259" s="69">
        <v>3</v>
      </c>
      <c r="L259" s="551">
        <f t="shared" si="58"/>
        <v>4.5289527183440481E-2</v>
      </c>
      <c r="N259" s="72">
        <f t="shared" si="59"/>
        <v>1.6418277891492365</v>
      </c>
      <c r="O259" s="220">
        <f>K259*N259</f>
        <v>4.9254833674477094</v>
      </c>
      <c r="Q259" s="220">
        <f t="shared" si="55"/>
        <v>4.9256000000000002</v>
      </c>
      <c r="R259" s="327">
        <f t="shared" si="61"/>
        <v>1.0000236794124737</v>
      </c>
    </row>
    <row r="260" spans="2:18" ht="15" customHeight="1" x14ac:dyDescent="0.2">
      <c r="E260" s="69">
        <v>4</v>
      </c>
      <c r="F260" s="168">
        <f t="shared" si="54"/>
        <v>7.1028000000000002</v>
      </c>
      <c r="G260" s="47">
        <f t="shared" si="56"/>
        <v>1.7757000000000001</v>
      </c>
      <c r="H260" s="180">
        <f t="shared" si="57"/>
        <v>4.8981208433268177E-2</v>
      </c>
      <c r="I260" s="718"/>
      <c r="J260" s="180">
        <v>4.8981208433268177E-2</v>
      </c>
      <c r="K260" s="69">
        <v>4</v>
      </c>
      <c r="L260" s="551">
        <f t="shared" si="58"/>
        <v>4.8981208433268177E-2</v>
      </c>
      <c r="N260" s="72">
        <f t="shared" si="59"/>
        <v>1.7756579534629073</v>
      </c>
      <c r="O260" s="220">
        <f t="shared" ref="O260:O266" si="62">K260*N260</f>
        <v>7.1026318138516293</v>
      </c>
      <c r="Q260" s="220">
        <f t="shared" si="55"/>
        <v>7.1028000000000002</v>
      </c>
      <c r="R260" s="327">
        <f t="shared" si="61"/>
        <v>1.0000236794124739</v>
      </c>
    </row>
    <row r="261" spans="2:18" ht="15" customHeight="1" x14ac:dyDescent="0.2">
      <c r="E261" s="70">
        <v>5</v>
      </c>
      <c r="F261" s="167">
        <f t="shared" si="54"/>
        <v>9.4303000000000008</v>
      </c>
      <c r="G261" s="48">
        <f t="shared" si="56"/>
        <v>1.8860600000000001</v>
      </c>
      <c r="H261" s="179">
        <f t="shared" si="57"/>
        <v>5.2025397295517146E-2</v>
      </c>
      <c r="I261" s="718"/>
      <c r="J261" s="179">
        <v>5.2025397295517146E-2</v>
      </c>
      <c r="K261" s="70">
        <v>5</v>
      </c>
      <c r="L261" s="550">
        <f t="shared" si="58"/>
        <v>5.2025397295517146E-2</v>
      </c>
      <c r="N261" s="73">
        <f t="shared" si="59"/>
        <v>1.8860153402648263</v>
      </c>
      <c r="O261" s="219">
        <f t="shared" si="62"/>
        <v>9.4300767013241309</v>
      </c>
      <c r="Q261" s="219">
        <f t="shared" si="55"/>
        <v>9.4303000000000008</v>
      </c>
      <c r="R261" s="327">
        <f t="shared" si="61"/>
        <v>1.0000236794124737</v>
      </c>
    </row>
    <row r="262" spans="2:18" ht="15" customHeight="1" x14ac:dyDescent="0.2">
      <c r="E262" s="69">
        <v>10</v>
      </c>
      <c r="F262" s="168">
        <f t="shared" si="54"/>
        <v>21.012</v>
      </c>
      <c r="G262" s="47">
        <f t="shared" si="56"/>
        <v>2.1012</v>
      </c>
      <c r="H262" s="180">
        <f t="shared" si="57"/>
        <v>5.7959855358440664E-2</v>
      </c>
      <c r="I262" s="718"/>
      <c r="J262" s="180">
        <v>5.7959855358440664E-2</v>
      </c>
      <c r="K262" s="75">
        <v>10</v>
      </c>
      <c r="L262" s="551">
        <f t="shared" si="58"/>
        <v>5.7959855358440664E-2</v>
      </c>
      <c r="M262" s="41"/>
      <c r="N262" s="76">
        <f t="shared" si="59"/>
        <v>2.1011502459966551</v>
      </c>
      <c r="O262" s="221">
        <f t="shared" si="62"/>
        <v>21.01150245996655</v>
      </c>
      <c r="Q262" s="221">
        <f t="shared" si="55"/>
        <v>21.012</v>
      </c>
      <c r="R262" s="327">
        <f t="shared" si="61"/>
        <v>1.0000236794124742</v>
      </c>
    </row>
    <row r="263" spans="2:18" ht="15" customHeight="1" x14ac:dyDescent="0.2">
      <c r="E263" s="69">
        <v>20</v>
      </c>
      <c r="F263" s="168">
        <f t="shared" si="54"/>
        <v>41.241700000000002</v>
      </c>
      <c r="G263" s="47">
        <f t="shared" si="56"/>
        <v>2.0620850000000002</v>
      </c>
      <c r="H263" s="180">
        <f t="shared" si="57"/>
        <v>5.6880900598139231E-2</v>
      </c>
      <c r="I263" s="718"/>
      <c r="J263" s="180">
        <v>5.6880900598139231E-2</v>
      </c>
      <c r="K263" s="69">
        <v>20</v>
      </c>
      <c r="L263" s="551">
        <f t="shared" si="58"/>
        <v>5.6880900598139231E-2</v>
      </c>
      <c r="N263" s="72">
        <f t="shared" si="59"/>
        <v>2.0620361721949427</v>
      </c>
      <c r="O263" s="220">
        <f t="shared" si="62"/>
        <v>41.240723443898858</v>
      </c>
      <c r="Q263" s="220">
        <f t="shared" si="55"/>
        <v>41.241700000000002</v>
      </c>
      <c r="R263" s="327">
        <f t="shared" si="61"/>
        <v>1.0000236794124737</v>
      </c>
    </row>
    <row r="264" spans="2:18" ht="15" customHeight="1" x14ac:dyDescent="0.2">
      <c r="E264" s="69">
        <v>30</v>
      </c>
      <c r="F264" s="168">
        <f t="shared" si="54"/>
        <v>55.795999999999999</v>
      </c>
      <c r="G264" s="47">
        <f t="shared" si="56"/>
        <v>1.8598666666666666</v>
      </c>
      <c r="H264" s="180">
        <f t="shared" si="57"/>
        <v>5.130287596896306E-2</v>
      </c>
      <c r="I264" s="718"/>
      <c r="J264" s="180">
        <v>5.130287596896306E-2</v>
      </c>
      <c r="K264" s="69">
        <v>30</v>
      </c>
      <c r="L264" s="551">
        <f t="shared" si="58"/>
        <v>5.130287596896306E-2</v>
      </c>
      <c r="N264" s="72">
        <f t="shared" si="59"/>
        <v>1.8598226271595495</v>
      </c>
      <c r="O264" s="220">
        <f t="shared" si="62"/>
        <v>55.794678814786486</v>
      </c>
      <c r="Q264" s="220">
        <f t="shared" si="55"/>
        <v>55.795999999999999</v>
      </c>
      <c r="R264" s="327">
        <f t="shared" si="61"/>
        <v>1.0000236794124742</v>
      </c>
    </row>
    <row r="265" spans="2:18" ht="15" customHeight="1" x14ac:dyDescent="0.2">
      <c r="E265" s="69">
        <v>40</v>
      </c>
      <c r="F265" s="168">
        <f t="shared" si="54"/>
        <v>68.913399999999996</v>
      </c>
      <c r="G265" s="47">
        <f t="shared" si="56"/>
        <v>1.7228349999999999</v>
      </c>
      <c r="H265" s="180">
        <f t="shared" si="57"/>
        <v>4.7522971352778942E-2</v>
      </c>
      <c r="I265" s="718"/>
      <c r="J265" s="180">
        <v>4.7522971352778942E-2</v>
      </c>
      <c r="K265" s="69">
        <v>40</v>
      </c>
      <c r="L265" s="551">
        <f t="shared" si="58"/>
        <v>4.7522971352778942E-2</v>
      </c>
      <c r="N265" s="72">
        <f t="shared" si="59"/>
        <v>1.7227942052454059</v>
      </c>
      <c r="O265" s="220">
        <f t="shared" si="62"/>
        <v>68.911768209816245</v>
      </c>
      <c r="Q265" s="220">
        <f t="shared" si="55"/>
        <v>68.913399999999996</v>
      </c>
      <c r="R265" s="327">
        <f t="shared" si="61"/>
        <v>1.0000236794124739</v>
      </c>
    </row>
    <row r="266" spans="2:18" ht="15" customHeight="1" thickBot="1" x14ac:dyDescent="0.25">
      <c r="E266" s="70">
        <v>50</v>
      </c>
      <c r="F266" s="167">
        <f t="shared" si="54"/>
        <v>80.467100000000002</v>
      </c>
      <c r="G266" s="48">
        <f t="shared" si="56"/>
        <v>1.6093420000000001</v>
      </c>
      <c r="H266" s="179">
        <f t="shared" si="57"/>
        <v>4.4392361289864658E-2</v>
      </c>
      <c r="I266" s="718"/>
      <c r="J266" s="179">
        <v>4.4392361289864658E-2</v>
      </c>
      <c r="K266" s="70">
        <v>50</v>
      </c>
      <c r="L266" s="556">
        <f t="shared" si="58"/>
        <v>4.4392361289864658E-2</v>
      </c>
      <c r="N266" s="73">
        <f t="shared" si="59"/>
        <v>1.6093038926293304</v>
      </c>
      <c r="O266" s="219">
        <f t="shared" si="62"/>
        <v>80.465194631466517</v>
      </c>
      <c r="Q266" s="219">
        <f t="shared" si="55"/>
        <v>80.467100000000002</v>
      </c>
      <c r="R266" s="327">
        <f t="shared" si="61"/>
        <v>1.0000236794124742</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348" t="s">
        <v>415</v>
      </c>
      <c r="C274" s="1"/>
      <c r="D274" s="1"/>
      <c r="E274" s="1"/>
      <c r="F274" s="1"/>
      <c r="G274" s="1"/>
      <c r="H274" s="1"/>
      <c r="I274" s="1"/>
      <c r="J274" s="1"/>
      <c r="K274" s="1"/>
      <c r="L274" s="1"/>
      <c r="M274" s="1"/>
      <c r="N274" s="1"/>
      <c r="O274" s="334" t="s">
        <v>195</v>
      </c>
      <c r="P274" s="687" t="s">
        <v>455</v>
      </c>
    </row>
    <row r="275" spans="1:16" ht="15" customHeight="1" x14ac:dyDescent="0.2">
      <c r="A275" s="35"/>
      <c r="B275" s="539" t="s">
        <v>416</v>
      </c>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3171s</v>
      </c>
      <c r="C277" s="1"/>
      <c r="D277" s="1"/>
      <c r="E277" s="1"/>
      <c r="F277" s="1"/>
      <c r="G277" s="1"/>
      <c r="H277" s="1"/>
      <c r="I277" s="1"/>
      <c r="J277" s="1"/>
      <c r="K277" s="276"/>
      <c r="L277" s="1"/>
      <c r="M277" s="1"/>
      <c r="N277" s="1"/>
      <c r="O277" s="330"/>
      <c r="P277" s="22"/>
    </row>
    <row r="278" spans="1:16" ht="15" customHeight="1" x14ac:dyDescent="0.2">
      <c r="A278" s="274"/>
      <c r="B278" s="275" t="str">
        <f>B10</f>
        <v>16 SXF 250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Hunter Hargis</v>
      </c>
      <c r="C279" s="1"/>
      <c r="E279" s="1" t="str">
        <f>B6</f>
        <v xml:space="preserve">  We are removing calc gas (73c and 69c) and displaying linear gas force (77 lbs and 73 lbs) for 12sxf450-psh and 16sxf250-psh respectively.  (See note above)</v>
      </c>
      <c r="F279" s="1"/>
      <c r="G279" s="1"/>
      <c r="H279" s="1"/>
      <c r="I279" s="1"/>
      <c r="J279" s="1"/>
      <c r="K279" s="276"/>
      <c r="L279" s="1"/>
      <c r="M279" s="1"/>
      <c r="N279" s="1"/>
      <c r="O279" s="330"/>
      <c r="P279" s="22"/>
    </row>
    <row r="280" spans="1:16" ht="15" customHeight="1" x14ac:dyDescent="0.2">
      <c r="A280" s="274"/>
      <c r="B280" s="275" t="str">
        <f>B12</f>
        <v>12sxf450-psh</v>
      </c>
      <c r="C280" s="1"/>
      <c r="D280" s="275" t="str">
        <f>D12</f>
        <v>15 flsprs</v>
      </c>
      <c r="E280" s="1"/>
      <c r="F280" s="1"/>
      <c r="G280" s="1"/>
      <c r="H280" s="1"/>
      <c r="I280" s="1"/>
      <c r="J280" s="1"/>
      <c r="K280" s="276"/>
      <c r="L280" s="1"/>
      <c r="M280" s="1"/>
      <c r="N280" s="1"/>
      <c r="O280" s="330"/>
      <c r="P280" s="22"/>
    </row>
    <row r="281" spans="1:16" ht="15" customHeight="1" x14ac:dyDescent="0.2">
      <c r="A281" s="35"/>
      <c r="B281" s="275" t="str">
        <f>B13</f>
        <v>TRENDLINE</v>
      </c>
      <c r="C281" s="275" t="str">
        <f>C13</f>
        <v>v6</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4.2</v>
      </c>
      <c r="D282" s="1"/>
      <c r="E282" s="1"/>
      <c r="F282" s="1"/>
      <c r="G282" s="1"/>
      <c r="H282" s="1"/>
      <c r="I282" s="539" t="s">
        <v>417</v>
      </c>
      <c r="J282" s="1"/>
      <c r="K282" s="1"/>
      <c r="L282" s="1"/>
      <c r="M282" s="1"/>
      <c r="N282" s="1"/>
      <c r="O282" s="1"/>
      <c r="P282" s="22"/>
    </row>
    <row r="283" spans="1:16" ht="15" customHeight="1" x14ac:dyDescent="0.2">
      <c r="A283" s="11"/>
      <c r="B283" s="442" t="s">
        <v>202</v>
      </c>
      <c r="C283" s="275"/>
      <c r="D283" s="1"/>
      <c r="E283" s="1"/>
      <c r="F283" s="1"/>
      <c r="G283" s="1"/>
      <c r="H283" s="1"/>
      <c r="I283" s="540" t="str">
        <f>IF($B$12="12sxf450-psh","calc gas force = 73c, linear = 77","calc gas force = 69c, linear = 73")</f>
        <v>calc gas force = 73c, linear = 77</v>
      </c>
      <c r="J283" s="445"/>
      <c r="K283" s="1"/>
      <c r="L283" s="1"/>
      <c r="M283" s="1"/>
      <c r="N283" s="1"/>
      <c r="O283" s="1"/>
      <c r="P283" s="22"/>
    </row>
    <row r="284" spans="1:16" ht="15" customHeight="1" x14ac:dyDescent="0.2">
      <c r="A284" s="35"/>
      <c r="B284" s="1"/>
      <c r="C284" s="1"/>
      <c r="D284" s="1"/>
      <c r="E284" s="1"/>
      <c r="F284" s="1"/>
      <c r="G284" s="1"/>
      <c r="H284" s="446" t="str">
        <f>J155</f>
        <v xml:space="preserve"> 5-8-13</v>
      </c>
      <c r="I284" s="1"/>
      <c r="J284" s="1"/>
      <c r="K284" s="1"/>
      <c r="L284" s="1"/>
      <c r="M284" s="1"/>
      <c r="N284" s="1"/>
      <c r="O284" s="1"/>
      <c r="P284" s="22"/>
    </row>
    <row r="285" spans="1:16" ht="15" customHeight="1" x14ac:dyDescent="0.2">
      <c r="A285" s="300" t="s">
        <v>151</v>
      </c>
      <c r="B285" s="448">
        <f>D206</f>
        <v>4.2</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589" t="s">
        <v>428</v>
      </c>
      <c r="M286" s="183" t="s">
        <v>39</v>
      </c>
      <c r="N286" s="589" t="s">
        <v>429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456">
        <f t="shared" ref="C288:E297" si="63">C185</f>
        <v>46.897332653061198</v>
      </c>
      <c r="D288" s="456">
        <f t="shared" si="63"/>
        <v>115.8973326530612</v>
      </c>
      <c r="E288" s="456">
        <f t="shared" si="63"/>
        <v>28.897332653061206</v>
      </c>
      <c r="F288" s="456">
        <f>G288+J288</f>
        <v>41.500632653061203</v>
      </c>
      <c r="G288" s="456">
        <f t="shared" ref="G288:H297" si="64">F185</f>
        <v>27.500632653061206</v>
      </c>
      <c r="H288" s="457">
        <f t="shared" si="64"/>
        <v>1.3967000000000001</v>
      </c>
      <c r="I288" s="458">
        <f>M185</f>
        <v>73</v>
      </c>
      <c r="J288" s="456">
        <f t="shared" ref="J288:J297" si="65">L185</f>
        <v>14</v>
      </c>
      <c r="K288" s="708">
        <f>H288/E288</f>
        <v>4.8333180669948177E-2</v>
      </c>
      <c r="L288" s="584">
        <f t="shared" ref="L288:L297" si="66">F205</f>
        <v>1.2936545696563342</v>
      </c>
      <c r="M288" s="584">
        <f t="shared" ref="M288:M297" si="67">H227</f>
        <v>0.75858209158435086</v>
      </c>
      <c r="N288" s="584">
        <f t="shared" ref="N288:N297" si="68">H257</f>
        <v>3.8526808480455976E-2</v>
      </c>
      <c r="O288" s="1"/>
      <c r="P288" s="468">
        <f>L288</f>
        <v>1.2936545696563342</v>
      </c>
    </row>
    <row r="289" spans="1:16" ht="15" customHeight="1" x14ac:dyDescent="0.2">
      <c r="A289" s="35"/>
      <c r="B289" s="449">
        <v>2</v>
      </c>
      <c r="C289" s="127">
        <f t="shared" si="63"/>
        <v>71.766926530612182</v>
      </c>
      <c r="D289" s="127">
        <f t="shared" si="63"/>
        <v>140.76692653061218</v>
      </c>
      <c r="E289" s="127">
        <f t="shared" si="63"/>
        <v>53.766926530612189</v>
      </c>
      <c r="F289" s="127">
        <f t="shared" ref="F289:F297" si="69">G289+J289</f>
        <v>64.720326530612198</v>
      </c>
      <c r="G289" s="127">
        <f t="shared" si="64"/>
        <v>50.720326530612191</v>
      </c>
      <c r="H289" s="460">
        <f t="shared" si="64"/>
        <v>3.0466000000000002</v>
      </c>
      <c r="I289" s="461">
        <f t="shared" ref="I289:I297" si="70">M186</f>
        <v>73</v>
      </c>
      <c r="J289" s="127">
        <f t="shared" si="65"/>
        <v>14</v>
      </c>
      <c r="K289" s="709">
        <f t="shared" ref="K289:K297" si="71">H289/E289</f>
        <v>5.6663086335526712E-2</v>
      </c>
      <c r="L289" s="585">
        <f t="shared" si="66"/>
        <v>0.98983894396877459</v>
      </c>
      <c r="M289" s="585">
        <f t="shared" si="67"/>
        <v>0.69953902280772029</v>
      </c>
      <c r="N289" s="585">
        <f t="shared" si="68"/>
        <v>4.2018964243057622E-2</v>
      </c>
      <c r="O289" s="1"/>
      <c r="P289" s="469">
        <f t="shared" ref="P289:P297" si="72">L289</f>
        <v>0.98983894396877459</v>
      </c>
    </row>
    <row r="290" spans="1:16" ht="15" customHeight="1" x14ac:dyDescent="0.2">
      <c r="A290" s="35"/>
      <c r="B290" s="449">
        <v>3</v>
      </c>
      <c r="C290" s="463">
        <f t="shared" si="63"/>
        <v>93.395110204081618</v>
      </c>
      <c r="D290" s="463">
        <f t="shared" si="63"/>
        <v>162.39511020408162</v>
      </c>
      <c r="E290" s="463">
        <f t="shared" si="63"/>
        <v>75.395110204081618</v>
      </c>
      <c r="F290" s="463">
        <f t="shared" si="69"/>
        <v>84.469510204081615</v>
      </c>
      <c r="G290" s="463">
        <f t="shared" si="64"/>
        <v>70.469510204081615</v>
      </c>
      <c r="H290" s="464">
        <f t="shared" si="64"/>
        <v>4.9256000000000002</v>
      </c>
      <c r="I290" s="465">
        <f t="shared" si="70"/>
        <v>73</v>
      </c>
      <c r="J290" s="463">
        <f t="shared" si="65"/>
        <v>14</v>
      </c>
      <c r="K290" s="710">
        <f t="shared" si="71"/>
        <v>6.5330496721435205E-2</v>
      </c>
      <c r="L290" s="586">
        <f t="shared" si="66"/>
        <v>0.85876249432550311</v>
      </c>
      <c r="M290" s="586">
        <f t="shared" si="67"/>
        <v>0.64794762018667573</v>
      </c>
      <c r="N290" s="586">
        <f t="shared" si="68"/>
        <v>4.5289527183440481E-2</v>
      </c>
      <c r="O290" s="1"/>
      <c r="P290" s="470">
        <f t="shared" si="72"/>
        <v>0.85876249432550311</v>
      </c>
    </row>
    <row r="291" spans="1:16" ht="15" customHeight="1" x14ac:dyDescent="0.2">
      <c r="A291" s="35"/>
      <c r="B291" s="449">
        <v>4</v>
      </c>
      <c r="C291" s="463">
        <f t="shared" si="63"/>
        <v>113.12312653061227</v>
      </c>
      <c r="D291" s="463">
        <f t="shared" si="63"/>
        <v>182.12312653061227</v>
      </c>
      <c r="E291" s="463">
        <f t="shared" si="63"/>
        <v>95.123126530612268</v>
      </c>
      <c r="F291" s="463">
        <f t="shared" si="69"/>
        <v>102.02032653061227</v>
      </c>
      <c r="G291" s="463">
        <f t="shared" si="64"/>
        <v>88.020326530612266</v>
      </c>
      <c r="H291" s="464">
        <f t="shared" si="64"/>
        <v>7.1028000000000002</v>
      </c>
      <c r="I291" s="465">
        <f t="shared" si="70"/>
        <v>73</v>
      </c>
      <c r="J291" s="463">
        <f t="shared" si="65"/>
        <v>14</v>
      </c>
      <c r="K291" s="710">
        <f t="shared" si="71"/>
        <v>7.4669538933985688E-2</v>
      </c>
      <c r="L291" s="586">
        <f t="shared" si="66"/>
        <v>0.78012032503401796</v>
      </c>
      <c r="M291" s="586">
        <f t="shared" si="67"/>
        <v>0.60699188491302647</v>
      </c>
      <c r="N291" s="586">
        <f t="shared" si="68"/>
        <v>4.8981208433268177E-2</v>
      </c>
      <c r="O291" s="1"/>
      <c r="P291" s="470">
        <f t="shared" si="72"/>
        <v>0.78012032503401796</v>
      </c>
    </row>
    <row r="292" spans="1:16" ht="15" customHeight="1" x14ac:dyDescent="0.2">
      <c r="A292" s="35"/>
      <c r="B292" s="449">
        <v>5</v>
      </c>
      <c r="C292" s="127">
        <f t="shared" si="63"/>
        <v>132.07521836734696</v>
      </c>
      <c r="D292" s="127">
        <f t="shared" si="63"/>
        <v>201.07521836734696</v>
      </c>
      <c r="E292" s="127">
        <f t="shared" si="63"/>
        <v>114.07521836734696</v>
      </c>
      <c r="F292" s="127">
        <f t="shared" si="69"/>
        <v>118.64491836734696</v>
      </c>
      <c r="G292" s="127">
        <f t="shared" si="64"/>
        <v>104.64491836734696</v>
      </c>
      <c r="H292" s="460">
        <f t="shared" si="64"/>
        <v>9.4303000000000008</v>
      </c>
      <c r="I292" s="461">
        <f t="shared" si="70"/>
        <v>73</v>
      </c>
      <c r="J292" s="127">
        <f t="shared" si="65"/>
        <v>14</v>
      </c>
      <c r="K292" s="709">
        <f t="shared" si="71"/>
        <v>8.2667385037409155E-2</v>
      </c>
      <c r="L292" s="585">
        <f t="shared" si="66"/>
        <v>0.72865427568458441</v>
      </c>
      <c r="M292" s="585">
        <f t="shared" si="67"/>
        <v>0.57730861722513438</v>
      </c>
      <c r="N292" s="585">
        <f t="shared" si="68"/>
        <v>5.2025397295517146E-2</v>
      </c>
      <c r="O292" s="1"/>
      <c r="P292" s="469">
        <f t="shared" si="72"/>
        <v>0.72865427568458441</v>
      </c>
    </row>
    <row r="293" spans="1:16" ht="15" customHeight="1" x14ac:dyDescent="0.2">
      <c r="A293" s="35"/>
      <c r="B293" s="449">
        <v>10</v>
      </c>
      <c r="C293" s="463">
        <f t="shared" si="63"/>
        <v>209.01057142857155</v>
      </c>
      <c r="D293" s="463">
        <f t="shared" si="63"/>
        <v>278.01057142857155</v>
      </c>
      <c r="E293" s="463">
        <f t="shared" si="63"/>
        <v>191.01057142857155</v>
      </c>
      <c r="F293" s="463">
        <f t="shared" si="69"/>
        <v>183.99857142857155</v>
      </c>
      <c r="G293" s="463">
        <f t="shared" si="64"/>
        <v>169.99857142857155</v>
      </c>
      <c r="H293" s="464">
        <f t="shared" si="64"/>
        <v>21.012</v>
      </c>
      <c r="I293" s="465">
        <f t="shared" si="70"/>
        <v>73</v>
      </c>
      <c r="J293" s="463">
        <f t="shared" si="65"/>
        <v>14</v>
      </c>
      <c r="K293" s="710">
        <f t="shared" si="71"/>
        <v>0.11000438270432296</v>
      </c>
      <c r="L293" s="586">
        <f t="shared" si="66"/>
        <v>0.57655193918028469</v>
      </c>
      <c r="M293" s="586">
        <f t="shared" si="67"/>
        <v>0.46892692800026425</v>
      </c>
      <c r="N293" s="586">
        <f t="shared" si="68"/>
        <v>5.7959855358440664E-2</v>
      </c>
      <c r="O293" s="1"/>
      <c r="P293" s="470">
        <f t="shared" si="72"/>
        <v>0.57655193918028469</v>
      </c>
    </row>
    <row r="294" spans="1:16" ht="15" customHeight="1" x14ac:dyDescent="0.2">
      <c r="A294" s="35"/>
      <c r="B294" s="449">
        <v>20</v>
      </c>
      <c r="C294" s="463">
        <f t="shared" si="63"/>
        <v>335.24741428571434</v>
      </c>
      <c r="D294" s="463">
        <f t="shared" si="63"/>
        <v>404.24741428571434</v>
      </c>
      <c r="E294" s="463">
        <f t="shared" si="63"/>
        <v>317.24741428571434</v>
      </c>
      <c r="F294" s="463">
        <f t="shared" si="69"/>
        <v>290.00571428571436</v>
      </c>
      <c r="G294" s="463">
        <f t="shared" si="64"/>
        <v>276.00571428571436</v>
      </c>
      <c r="H294" s="464">
        <f t="shared" si="64"/>
        <v>41.241700000000002</v>
      </c>
      <c r="I294" s="465">
        <f t="shared" si="70"/>
        <v>73</v>
      </c>
      <c r="J294" s="463">
        <f t="shared" si="65"/>
        <v>14</v>
      </c>
      <c r="K294" s="710">
        <f t="shared" si="71"/>
        <v>0.12999853786942941</v>
      </c>
      <c r="L294" s="586">
        <f t="shared" si="66"/>
        <v>0.46238701107436592</v>
      </c>
      <c r="M294" s="586">
        <f t="shared" si="67"/>
        <v>0.38066940981589348</v>
      </c>
      <c r="N294" s="586">
        <f t="shared" si="68"/>
        <v>5.6880900598139231E-2</v>
      </c>
      <c r="O294" s="1"/>
      <c r="P294" s="470">
        <f t="shared" si="72"/>
        <v>0.46238701107436592</v>
      </c>
    </row>
    <row r="295" spans="1:16" ht="15" customHeight="1" x14ac:dyDescent="0.2">
      <c r="A295" s="35"/>
      <c r="B295" s="449">
        <v>30</v>
      </c>
      <c r="C295" s="463">
        <f t="shared" si="63"/>
        <v>447.18742857142854</v>
      </c>
      <c r="D295" s="463">
        <f t="shared" si="63"/>
        <v>516.18742857142854</v>
      </c>
      <c r="E295" s="463">
        <f t="shared" si="63"/>
        <v>429.18742857142854</v>
      </c>
      <c r="F295" s="463">
        <f t="shared" si="69"/>
        <v>387.39142857142855</v>
      </c>
      <c r="G295" s="463">
        <f t="shared" si="64"/>
        <v>373.39142857142855</v>
      </c>
      <c r="H295" s="464">
        <f t="shared" si="64"/>
        <v>55.795999999999999</v>
      </c>
      <c r="I295" s="465">
        <f t="shared" si="70"/>
        <v>73</v>
      </c>
      <c r="J295" s="463">
        <f t="shared" si="65"/>
        <v>14</v>
      </c>
      <c r="K295" s="710">
        <f t="shared" si="71"/>
        <v>0.13000380786016899</v>
      </c>
      <c r="L295" s="586">
        <f t="shared" si="66"/>
        <v>0.4111861860346353</v>
      </c>
      <c r="M295" s="586">
        <f t="shared" si="67"/>
        <v>0.34332307240436466</v>
      </c>
      <c r="N295" s="586">
        <f t="shared" si="68"/>
        <v>5.130287596896306E-2</v>
      </c>
      <c r="O295" s="1"/>
      <c r="P295" s="470">
        <f t="shared" si="72"/>
        <v>0.4111861860346353</v>
      </c>
    </row>
    <row r="296" spans="1:16" ht="15" customHeight="1" x14ac:dyDescent="0.2">
      <c r="A296" s="35"/>
      <c r="B296" s="449">
        <v>40</v>
      </c>
      <c r="C296" s="463">
        <f t="shared" si="63"/>
        <v>549.1191142857142</v>
      </c>
      <c r="D296" s="463">
        <f t="shared" si="63"/>
        <v>618.1191142857142</v>
      </c>
      <c r="E296" s="463">
        <f t="shared" si="63"/>
        <v>530.1191142857142</v>
      </c>
      <c r="F296" s="463">
        <f t="shared" si="69"/>
        <v>475.20571428571418</v>
      </c>
      <c r="G296" s="463">
        <f t="shared" si="64"/>
        <v>461.20571428571418</v>
      </c>
      <c r="H296" s="464">
        <f t="shared" si="64"/>
        <v>68.913399999999996</v>
      </c>
      <c r="I296" s="465">
        <f t="shared" si="70"/>
        <v>74</v>
      </c>
      <c r="J296" s="463">
        <f t="shared" si="65"/>
        <v>14</v>
      </c>
      <c r="K296" s="710">
        <f t="shared" si="71"/>
        <v>0.12999606719115259</v>
      </c>
      <c r="L296" s="586">
        <f t="shared" si="66"/>
        <v>0.37868382448131832</v>
      </c>
      <c r="M296" s="586">
        <f t="shared" si="67"/>
        <v>0.31804940617844929</v>
      </c>
      <c r="N296" s="586">
        <f t="shared" si="68"/>
        <v>4.7522971352778942E-2</v>
      </c>
      <c r="O296" s="1"/>
      <c r="P296" s="470">
        <f t="shared" si="72"/>
        <v>0.37868382448131832</v>
      </c>
    </row>
    <row r="297" spans="1:16" ht="15" customHeight="1" x14ac:dyDescent="0.2">
      <c r="A297" s="35"/>
      <c r="B297" s="449">
        <v>50</v>
      </c>
      <c r="C297" s="127">
        <f t="shared" si="63"/>
        <v>638.96567142857123</v>
      </c>
      <c r="D297" s="127">
        <f t="shared" si="63"/>
        <v>707.96567142857123</v>
      </c>
      <c r="E297" s="127">
        <f t="shared" si="63"/>
        <v>618.96567142857123</v>
      </c>
      <c r="F297" s="127">
        <f t="shared" si="69"/>
        <v>552.49857142857127</v>
      </c>
      <c r="G297" s="127">
        <f t="shared" si="64"/>
        <v>538.49857142857127</v>
      </c>
      <c r="H297" s="460">
        <f t="shared" si="64"/>
        <v>80.467100000000002</v>
      </c>
      <c r="I297" s="461">
        <f t="shared" si="70"/>
        <v>75</v>
      </c>
      <c r="J297" s="127">
        <f t="shared" si="65"/>
        <v>14</v>
      </c>
      <c r="K297" s="709">
        <f t="shared" si="71"/>
        <v>0.13000252471882995</v>
      </c>
      <c r="L297" s="585">
        <f t="shared" si="66"/>
        <v>0.35251508515938718</v>
      </c>
      <c r="M297" s="585">
        <f t="shared" si="67"/>
        <v>0.29708070922070173</v>
      </c>
      <c r="N297" s="585">
        <f t="shared" si="68"/>
        <v>4.4392361289864658E-2</v>
      </c>
      <c r="O297" s="1"/>
      <c r="P297" s="469">
        <f t="shared" si="72"/>
        <v>0.35251508515938718</v>
      </c>
    </row>
    <row r="298" spans="1:16" ht="15" customHeight="1" x14ac:dyDescent="0.2">
      <c r="A298" s="35"/>
      <c r="B298" s="1"/>
      <c r="C298" s="1"/>
      <c r="D298" s="1"/>
      <c r="E298" s="1"/>
      <c r="F298" s="1"/>
      <c r="G298" s="1"/>
      <c r="H298" s="1"/>
      <c r="I298" s="1"/>
      <c r="J298" s="1"/>
      <c r="K298" s="1"/>
      <c r="L298" s="1"/>
      <c r="M298" s="1"/>
      <c r="N298" s="1"/>
      <c r="O298" s="1"/>
      <c r="P298" s="22"/>
    </row>
    <row r="299" spans="1:16" ht="15" customHeight="1" x14ac:dyDescent="0.2">
      <c r="A299" s="35"/>
      <c r="B299" s="1"/>
      <c r="C299" s="1"/>
      <c r="D299" s="1"/>
      <c r="E299" s="1"/>
      <c r="F299" s="1"/>
      <c r="G299" s="1"/>
      <c r="H299" s="1"/>
      <c r="I299" s="1"/>
      <c r="J299" s="1"/>
      <c r="K299" s="1"/>
      <c r="L299" s="689" t="s">
        <v>526</v>
      </c>
      <c r="M299" s="1" t="s">
        <v>530</v>
      </c>
      <c r="N299" s="1"/>
      <c r="O299" s="1"/>
      <c r="P299" s="22"/>
    </row>
    <row r="300" spans="1:16" ht="15" customHeight="1" x14ac:dyDescent="0.2">
      <c r="A300" s="35"/>
      <c r="B300" s="1"/>
      <c r="C300" s="1"/>
      <c r="D300" s="1"/>
      <c r="E300" s="1"/>
      <c r="F300" s="1"/>
      <c r="G300" s="1"/>
      <c r="H300" s="1"/>
      <c r="I300" s="1"/>
      <c r="J300" s="1"/>
      <c r="K300" s="588"/>
      <c r="M300" s="1"/>
      <c r="N300" s="1"/>
      <c r="O300" s="1"/>
      <c r="P300" s="22"/>
    </row>
    <row r="301" spans="1:16" ht="15" customHeight="1" x14ac:dyDescent="0.2">
      <c r="A301" s="35"/>
      <c r="B301" s="1"/>
      <c r="C301" s="1"/>
      <c r="D301" s="1"/>
      <c r="E301" s="1"/>
      <c r="F301" s="1"/>
      <c r="G301" s="767" t="s">
        <v>539</v>
      </c>
      <c r="H301" s="1"/>
      <c r="J301" s="1"/>
      <c r="K301" s="1"/>
      <c r="L301" s="491" t="s">
        <v>531</v>
      </c>
      <c r="M301" s="280"/>
      <c r="N301" s="1"/>
      <c r="O301" s="1"/>
      <c r="P301" s="22"/>
    </row>
    <row r="302" spans="1:16" ht="15" customHeight="1" x14ac:dyDescent="0.2">
      <c r="A302" s="35"/>
      <c r="B302" s="1"/>
      <c r="C302" s="1"/>
      <c r="D302" s="1"/>
      <c r="E302" s="1"/>
      <c r="F302" s="1"/>
      <c r="H302" s="1"/>
      <c r="I302" s="1"/>
      <c r="J302" s="1"/>
      <c r="K302" s="1"/>
      <c r="L302" s="491" t="s">
        <v>532</v>
      </c>
      <c r="M302" s="1"/>
      <c r="N302" s="1"/>
      <c r="O302" s="1"/>
      <c r="P302" s="22"/>
    </row>
    <row r="303" spans="1:16" ht="15" customHeight="1" x14ac:dyDescent="0.2">
      <c r="A303" s="35"/>
      <c r="B303" s="1"/>
      <c r="C303" s="1"/>
      <c r="D303" s="1"/>
      <c r="E303" s="1"/>
      <c r="F303" s="1"/>
      <c r="G303" s="1"/>
      <c r="H303" s="1"/>
      <c r="I303" s="1"/>
      <c r="J303" s="1"/>
      <c r="K303" s="1"/>
      <c r="L303" s="491" t="s">
        <v>533</v>
      </c>
      <c r="M303" s="1"/>
      <c r="N303" s="1"/>
      <c r="O303" s="1"/>
      <c r="P303" s="22"/>
    </row>
    <row r="304" spans="1:16" ht="15" customHeight="1" x14ac:dyDescent="0.2">
      <c r="A304" s="35"/>
      <c r="B304" s="1"/>
      <c r="C304" s="1"/>
      <c r="D304" s="1"/>
      <c r="E304" s="1"/>
      <c r="F304" s="1"/>
      <c r="G304" s="1"/>
      <c r="H304" s="1"/>
      <c r="I304" s="1"/>
      <c r="J304" s="1"/>
      <c r="K304" s="1"/>
      <c r="L304" s="491" t="s">
        <v>534</v>
      </c>
      <c r="M304" s="1"/>
      <c r="N304" s="1"/>
      <c r="O304" s="1"/>
      <c r="P304" s="22"/>
    </row>
    <row r="305" spans="1:16" ht="15" customHeight="1" x14ac:dyDescent="0.2">
      <c r="A305" s="35"/>
      <c r="B305" s="1"/>
      <c r="C305" s="1"/>
      <c r="D305" s="1"/>
      <c r="E305" s="1"/>
      <c r="F305" s="1"/>
      <c r="G305" s="1"/>
      <c r="H305" s="1"/>
      <c r="I305" s="1"/>
      <c r="J305" s="1"/>
      <c r="K305" s="1"/>
      <c r="L305" s="491" t="s">
        <v>535</v>
      </c>
      <c r="M305" s="1"/>
      <c r="N305" s="1"/>
      <c r="O305" s="1"/>
      <c r="P305" s="22"/>
    </row>
    <row r="306" spans="1:16" ht="15" customHeight="1" x14ac:dyDescent="0.2">
      <c r="A306" s="35"/>
      <c r="B306" s="1"/>
      <c r="C306" s="1"/>
      <c r="D306" s="1"/>
      <c r="E306" s="1"/>
      <c r="F306" s="1"/>
      <c r="G306" s="1"/>
      <c r="H306" s="1"/>
      <c r="I306" s="1"/>
      <c r="J306" s="1"/>
      <c r="K306" s="1"/>
      <c r="L306" s="491" t="s">
        <v>536</v>
      </c>
      <c r="M306" s="1"/>
      <c r="N306" s="1"/>
      <c r="O306" s="1"/>
      <c r="P306" s="22"/>
    </row>
    <row r="307" spans="1:16" ht="15" customHeight="1" x14ac:dyDescent="0.2">
      <c r="A307" s="35"/>
      <c r="B307" s="1"/>
      <c r="C307" s="1"/>
      <c r="D307" s="1"/>
      <c r="E307" s="1"/>
      <c r="F307" s="1"/>
      <c r="G307" s="1"/>
      <c r="H307" s="1"/>
      <c r="I307" s="1"/>
      <c r="J307" s="1"/>
      <c r="K307" s="1"/>
      <c r="L307" s="491" t="s">
        <v>538</v>
      </c>
      <c r="M307" s="1"/>
      <c r="N307" s="1"/>
      <c r="O307" s="1"/>
      <c r="P307" s="22"/>
    </row>
    <row r="308" spans="1:16" ht="15" customHeight="1" x14ac:dyDescent="0.2">
      <c r="A308" s="35"/>
      <c r="B308" s="1"/>
      <c r="C308" s="1"/>
      <c r="D308" s="1"/>
      <c r="E308" s="1"/>
      <c r="F308" s="1"/>
      <c r="G308" s="1"/>
      <c r="H308" s="1"/>
      <c r="I308" s="1"/>
      <c r="J308" s="1"/>
      <c r="K308" s="1"/>
      <c r="L308" s="491"/>
      <c r="M308" s="1"/>
      <c r="N308" s="1"/>
      <c r="O308" s="1"/>
      <c r="P308" s="22"/>
    </row>
    <row r="309" spans="1:16" ht="15" customHeight="1" x14ac:dyDescent="0.2">
      <c r="A309" s="35"/>
      <c r="B309" s="1"/>
      <c r="C309" s="1"/>
      <c r="D309" s="1"/>
      <c r="E309" s="1"/>
      <c r="F309" s="1"/>
      <c r="G309" s="1"/>
      <c r="H309" s="1"/>
      <c r="I309" s="1"/>
      <c r="J309" s="1"/>
      <c r="K309" s="1"/>
      <c r="L309" s="491"/>
      <c r="M309" s="1"/>
      <c r="N309" s="1"/>
      <c r="O309" s="1"/>
      <c r="P309" s="22"/>
    </row>
    <row r="310" spans="1:16" ht="15" customHeight="1" x14ac:dyDescent="0.2">
      <c r="A310" s="36"/>
      <c r="B310" s="24"/>
      <c r="C310" s="24"/>
      <c r="D310" s="24"/>
      <c r="E310" s="24"/>
      <c r="F310" s="24"/>
      <c r="G310" s="24"/>
      <c r="H310" s="24"/>
      <c r="I310" s="24"/>
      <c r="J310" s="24"/>
      <c r="K310" s="24"/>
      <c r="L310" s="24"/>
      <c r="M310" s="24"/>
      <c r="N310" s="24"/>
      <c r="O310" s="24"/>
      <c r="P310" s="17"/>
    </row>
    <row r="311" spans="1:16" ht="15" customHeight="1" x14ac:dyDescent="0.2"/>
    <row r="312" spans="1:16" ht="15" customHeight="1" x14ac:dyDescent="0.2"/>
    <row r="313" spans="1:16" ht="15" customHeight="1" x14ac:dyDescent="0.2"/>
    <row r="314" spans="1:16" ht="15" customHeight="1" x14ac:dyDescent="0.2"/>
    <row r="315" spans="1:16" ht="15" customHeight="1" x14ac:dyDescent="0.2"/>
    <row r="316" spans="1:16" ht="15" customHeight="1" x14ac:dyDescent="0.2"/>
    <row r="317" spans="1:16" ht="15" customHeight="1" x14ac:dyDescent="0.2"/>
    <row r="318" spans="1:16" ht="15" customHeight="1" x14ac:dyDescent="0.2"/>
    <row r="319" spans="1:16" ht="15" customHeight="1" x14ac:dyDescent="0.2"/>
    <row r="320" spans="1:16"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row>
    <row r="327" spans="1:21" ht="15" customHeight="1" x14ac:dyDescent="0.2"/>
    <row r="328" spans="1:21" ht="15" customHeight="1" x14ac:dyDescent="0.2"/>
    <row r="329" spans="1:21" ht="15" customHeight="1" x14ac:dyDescent="0.2"/>
    <row r="330" spans="1:21" ht="15" customHeight="1" x14ac:dyDescent="0.2"/>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sheetData>
  <pageMargins left="0.45" right="0.45" top="0.5" bottom="0.5" header="0.3" footer="0.3"/>
  <pageSetup scale="77"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ransitionEntry="1" codeName="Sheet10">
    <tabColor theme="6" tint="0.39997558519241921"/>
  </sheetPr>
  <dimension ref="A1:AC400"/>
  <sheetViews>
    <sheetView showGridLines="0" zoomScale="80" zoomScaleNormal="80" workbookViewId="0"/>
  </sheetViews>
  <sheetFormatPr defaultRowHeight="12.75" x14ac:dyDescent="0.2"/>
  <cols>
    <col min="2" max="2" width="11.42578125" customWidth="1"/>
    <col min="3" max="4" width="10.5703125" customWidth="1"/>
    <col min="5" max="5" width="10.7109375" customWidth="1"/>
    <col min="6" max="6" width="10.5703125" customWidth="1"/>
    <col min="7" max="7" width="10.7109375" customWidth="1"/>
    <col min="8" max="10" width="10.5703125" customWidth="1"/>
    <col min="11" max="12" width="10.7109375" customWidth="1"/>
    <col min="13" max="13" width="10.5703125" customWidth="1"/>
    <col min="14" max="16" width="10.7109375" customWidth="1"/>
    <col min="17" max="17" width="11.7109375" customWidth="1"/>
    <col min="18" max="18" width="11.5703125" customWidth="1"/>
    <col min="20" max="20" width="9.140625" customWidth="1"/>
    <col min="29" max="29" width="9.140625" customWidth="1"/>
  </cols>
  <sheetData>
    <row r="1" spans="1:29" ht="15" customHeight="1" x14ac:dyDescent="0.2">
      <c r="K1" t="s">
        <v>26</v>
      </c>
      <c r="P1" s="28" t="s">
        <v>362</v>
      </c>
    </row>
    <row r="2" spans="1:29" ht="15" customHeight="1" x14ac:dyDescent="0.2">
      <c r="A2" s="343" t="s">
        <v>306</v>
      </c>
      <c r="B2" s="331" t="s">
        <v>185</v>
      </c>
      <c r="C2" s="332"/>
      <c r="D2" s="332"/>
      <c r="E2" s="332"/>
      <c r="F2" s="332"/>
    </row>
    <row r="3" spans="1:29" ht="15" customHeight="1" x14ac:dyDescent="0.2">
      <c r="A3" s="332"/>
      <c r="B3" s="348" t="s">
        <v>292</v>
      </c>
      <c r="C3" s="332"/>
      <c r="D3" s="332"/>
      <c r="E3" s="332"/>
      <c r="F3" s="332"/>
    </row>
    <row r="4" spans="1:29" ht="15" customHeight="1" x14ac:dyDescent="0.2">
      <c r="A4" s="332"/>
      <c r="B4" s="348" t="s">
        <v>307</v>
      </c>
      <c r="C4" s="332"/>
      <c r="D4" s="332"/>
      <c r="E4" s="332"/>
      <c r="F4" s="332"/>
      <c r="G4" s="332"/>
    </row>
    <row r="5" spans="1:29" ht="15" customHeight="1" x14ac:dyDescent="0.2">
      <c r="A5" s="332" t="s">
        <v>335</v>
      </c>
      <c r="B5" s="331" t="s">
        <v>186</v>
      </c>
      <c r="C5" s="332"/>
      <c r="D5" s="332"/>
      <c r="E5" s="332"/>
      <c r="F5" s="332"/>
      <c r="G5" s="332"/>
    </row>
    <row r="6" spans="1:29" ht="15" customHeight="1" x14ac:dyDescent="0.2">
      <c r="A6" s="332" t="s">
        <v>335</v>
      </c>
      <c r="B6" s="331" t="s">
        <v>196</v>
      </c>
      <c r="C6" s="332"/>
      <c r="D6" s="332"/>
      <c r="E6" s="332"/>
      <c r="F6" s="332"/>
    </row>
    <row r="7" spans="1:29" ht="15" customHeight="1" x14ac:dyDescent="0.2">
      <c r="A7" s="332"/>
      <c r="B7" s="332"/>
      <c r="C7" s="332"/>
      <c r="D7" s="332"/>
      <c r="E7" s="332"/>
      <c r="F7" s="332"/>
      <c r="P7" s="210" t="s">
        <v>106</v>
      </c>
      <c r="Q7" s="210" t="s">
        <v>107</v>
      </c>
    </row>
    <row r="8" spans="1:29" ht="15" customHeight="1" thickBot="1" x14ac:dyDescent="0.25">
      <c r="B8" s="471" t="s">
        <v>4</v>
      </c>
      <c r="C8" s="472"/>
      <c r="D8" s="472"/>
      <c r="E8" s="7"/>
      <c r="F8" s="7"/>
      <c r="G8" s="7"/>
      <c r="H8" s="7"/>
      <c r="I8" s="7"/>
      <c r="J8" s="7"/>
      <c r="K8" s="7"/>
      <c r="L8" s="8"/>
      <c r="O8" s="212" t="s">
        <v>108</v>
      </c>
      <c r="P8">
        <v>77</v>
      </c>
      <c r="Q8">
        <v>73</v>
      </c>
      <c r="Y8" s="349"/>
      <c r="Z8" s="349"/>
      <c r="AA8" s="349"/>
      <c r="AB8" s="349"/>
      <c r="AC8" s="349"/>
    </row>
    <row r="9" spans="1:29" ht="15" customHeight="1" x14ac:dyDescent="0.2">
      <c r="A9" t="s">
        <v>182</v>
      </c>
      <c r="B9" s="473" t="s">
        <v>320</v>
      </c>
      <c r="C9" s="474"/>
      <c r="D9" s="475"/>
      <c r="E9" s="158"/>
      <c r="F9" s="158"/>
      <c r="G9" s="158"/>
      <c r="H9" s="158"/>
      <c r="I9" s="158"/>
      <c r="J9" s="158"/>
      <c r="K9" s="158"/>
      <c r="L9" s="158"/>
      <c r="O9" s="212" t="s">
        <v>110</v>
      </c>
      <c r="P9" s="213">
        <v>73</v>
      </c>
      <c r="Q9" s="213">
        <v>69</v>
      </c>
      <c r="Y9" s="349"/>
      <c r="Z9" s="349"/>
      <c r="AA9" s="349"/>
      <c r="AB9" s="349"/>
      <c r="AC9" s="349"/>
    </row>
    <row r="10" spans="1:29" ht="15" customHeight="1" x14ac:dyDescent="0.2">
      <c r="A10" t="s">
        <v>182</v>
      </c>
      <c r="B10" s="476" t="s">
        <v>321</v>
      </c>
      <c r="C10" s="440"/>
      <c r="D10" s="477"/>
      <c r="E10" s="158" t="s">
        <v>305</v>
      </c>
      <c r="F10" s="158"/>
      <c r="G10" s="158"/>
      <c r="H10" s="158"/>
      <c r="I10" s="158"/>
      <c r="J10" s="158"/>
      <c r="K10" s="158"/>
      <c r="L10" s="158"/>
      <c r="O10" s="211" t="s">
        <v>109</v>
      </c>
      <c r="P10">
        <f>P8-P9</f>
        <v>4</v>
      </c>
      <c r="Q10">
        <f>Q8-Q9</f>
        <v>4</v>
      </c>
      <c r="Y10" s="349"/>
      <c r="Z10" s="349"/>
      <c r="AA10" s="349"/>
      <c r="AB10" s="349"/>
      <c r="AC10" s="349"/>
    </row>
    <row r="11" spans="1:29" ht="15" customHeight="1" x14ac:dyDescent="0.2">
      <c r="A11" t="s">
        <v>182</v>
      </c>
      <c r="B11" s="476" t="s">
        <v>322</v>
      </c>
      <c r="C11" s="440"/>
      <c r="D11" s="477"/>
      <c r="E11" s="158"/>
      <c r="F11" s="158"/>
      <c r="G11" s="158"/>
      <c r="H11" s="158"/>
      <c r="I11" s="158"/>
      <c r="J11" s="158"/>
      <c r="K11" s="158"/>
      <c r="L11" s="158"/>
      <c r="Y11" s="349"/>
      <c r="Z11" s="349"/>
      <c r="AA11" s="349"/>
      <c r="AB11" s="349"/>
      <c r="AC11" s="349"/>
    </row>
    <row r="12" spans="1:29" ht="15" customHeight="1" x14ac:dyDescent="0.2">
      <c r="A12" t="s">
        <v>182</v>
      </c>
      <c r="B12" s="476" t="s">
        <v>107</v>
      </c>
      <c r="C12" s="440"/>
      <c r="D12" s="482" t="s">
        <v>333</v>
      </c>
      <c r="E12" s="158"/>
      <c r="F12" s="158"/>
      <c r="G12" s="158"/>
      <c r="H12" s="158"/>
      <c r="I12" s="158"/>
      <c r="J12" s="158"/>
      <c r="K12" s="158"/>
      <c r="L12" s="158"/>
      <c r="M12" s="41"/>
      <c r="Y12" s="349"/>
      <c r="Z12" s="349"/>
      <c r="AA12" s="349"/>
      <c r="AB12" s="349"/>
      <c r="AC12" s="349"/>
    </row>
    <row r="13" spans="1:29" ht="15" customHeight="1" thickBot="1" x14ac:dyDescent="0.25">
      <c r="A13" t="s">
        <v>182</v>
      </c>
      <c r="B13" s="479" t="s">
        <v>112</v>
      </c>
      <c r="C13" s="480" t="s">
        <v>636</v>
      </c>
      <c r="D13" s="481" t="s">
        <v>304</v>
      </c>
      <c r="E13" s="158" t="s">
        <v>276</v>
      </c>
      <c r="F13" s="158"/>
      <c r="G13" s="158"/>
      <c r="H13" s="158"/>
      <c r="I13" s="158"/>
      <c r="J13" s="158"/>
      <c r="K13" s="158"/>
      <c r="L13" s="158"/>
      <c r="M13" s="41"/>
      <c r="U13" s="90" t="s">
        <v>305</v>
      </c>
      <c r="Y13" s="349"/>
      <c r="Z13" s="349"/>
      <c r="AA13" s="349"/>
      <c r="AB13" s="349"/>
      <c r="AC13" s="349"/>
    </row>
    <row r="14" spans="1:29" ht="15" customHeight="1" thickBot="1" x14ac:dyDescent="0.25">
      <c r="A14" s="41"/>
      <c r="B14" s="209" t="s">
        <v>332</v>
      </c>
      <c r="C14" s="40"/>
      <c r="D14" s="40"/>
      <c r="E14" s="40"/>
      <c r="F14" s="40"/>
      <c r="G14" s="40"/>
      <c r="H14" s="40"/>
      <c r="I14" s="40"/>
      <c r="J14" s="40"/>
      <c r="K14" s="40"/>
      <c r="L14" s="40"/>
      <c r="M14" s="41"/>
      <c r="Y14" s="349"/>
      <c r="Z14" s="349"/>
      <c r="AA14" s="349"/>
      <c r="AB14" s="349"/>
      <c r="AC14" s="349"/>
    </row>
    <row r="15" spans="1:29" ht="15" customHeight="1" thickBot="1" x14ac:dyDescent="0.3">
      <c r="A15" s="41"/>
      <c r="B15" s="209" t="s">
        <v>371</v>
      </c>
      <c r="C15" s="40"/>
      <c r="D15" s="40"/>
      <c r="E15" s="40"/>
      <c r="F15" s="575" t="s">
        <v>424</v>
      </c>
      <c r="G15" s="576"/>
      <c r="H15" s="576"/>
      <c r="I15" s="576"/>
      <c r="J15" s="576"/>
      <c r="K15" s="577"/>
      <c r="L15" s="559" t="s">
        <v>425</v>
      </c>
      <c r="M15" s="41"/>
      <c r="U15" s="331" t="s">
        <v>294</v>
      </c>
      <c r="V15" s="332" t="s">
        <v>204</v>
      </c>
      <c r="W15" s="332"/>
      <c r="X15" s="349"/>
      <c r="Y15" s="349"/>
      <c r="Z15" s="349"/>
      <c r="AA15" s="349"/>
      <c r="AB15" s="349"/>
      <c r="AC15" s="349"/>
    </row>
    <row r="16" spans="1:29" ht="15" customHeight="1" x14ac:dyDescent="0.2">
      <c r="B16" s="209"/>
      <c r="C16" s="40"/>
      <c r="D16" s="40"/>
      <c r="E16" s="40"/>
      <c r="F16" s="40"/>
      <c r="G16" s="40"/>
      <c r="H16" s="40"/>
      <c r="I16" s="40"/>
      <c r="J16" s="40"/>
      <c r="K16" s="40"/>
      <c r="L16" s="40"/>
      <c r="M16" s="41"/>
      <c r="U16" s="105" t="s">
        <v>44</v>
      </c>
      <c r="V16" s="332" t="s">
        <v>205</v>
      </c>
      <c r="W16" s="332"/>
      <c r="X16" s="349"/>
      <c r="Y16" s="349"/>
      <c r="Z16" s="349"/>
      <c r="AA16" s="349"/>
      <c r="AB16" s="349"/>
      <c r="AC16" s="349"/>
    </row>
    <row r="17" spans="1:29" ht="15" customHeight="1" x14ac:dyDescent="0.2">
      <c r="A17" s="41"/>
      <c r="B17" s="329"/>
      <c r="M17" s="41"/>
      <c r="U17" s="105" t="s">
        <v>45</v>
      </c>
      <c r="V17" s="343" t="s">
        <v>223</v>
      </c>
      <c r="W17" s="332"/>
      <c r="X17" s="349"/>
      <c r="Y17" s="349"/>
      <c r="Z17" s="349"/>
      <c r="AA17" s="349"/>
      <c r="AB17" s="349"/>
      <c r="AC17" s="349"/>
    </row>
    <row r="18" spans="1:29" ht="15" customHeight="1" x14ac:dyDescent="0.2">
      <c r="A18" s="41"/>
      <c r="B18" s="357" t="s">
        <v>375</v>
      </c>
      <c r="C18" s="40"/>
      <c r="D18" s="40"/>
      <c r="E18" s="40"/>
      <c r="F18" s="40"/>
      <c r="G18" s="40"/>
      <c r="H18" s="40"/>
      <c r="I18" s="40"/>
      <c r="J18" s="40"/>
      <c r="K18" s="40"/>
      <c r="L18" s="40"/>
      <c r="M18" s="41"/>
      <c r="U18" s="105" t="s">
        <v>48</v>
      </c>
      <c r="V18" s="343" t="s">
        <v>217</v>
      </c>
      <c r="W18" s="332"/>
      <c r="X18" s="349"/>
      <c r="Y18" s="349"/>
      <c r="Z18" s="349"/>
      <c r="AA18" s="349"/>
      <c r="AB18" s="349"/>
      <c r="AC18" s="349"/>
    </row>
    <row r="19" spans="1:29" ht="15" customHeight="1" x14ac:dyDescent="0.2">
      <c r="A19" s="41"/>
      <c r="B19" s="336" t="s">
        <v>315</v>
      </c>
      <c r="C19" s="415">
        <v>9</v>
      </c>
      <c r="D19" s="9"/>
      <c r="E19" s="9"/>
      <c r="F19" s="341"/>
      <c r="G19" s="40"/>
      <c r="H19" s="40"/>
      <c r="I19" s="40"/>
      <c r="J19" s="40"/>
      <c r="K19" s="40"/>
      <c r="L19" s="40"/>
      <c r="M19" s="41"/>
      <c r="U19" s="105" t="s">
        <v>75</v>
      </c>
      <c r="V19" s="343" t="s">
        <v>214</v>
      </c>
      <c r="W19" s="332"/>
      <c r="X19" s="349"/>
      <c r="Y19" s="349"/>
      <c r="Z19" s="349"/>
      <c r="AA19" s="349"/>
      <c r="AB19" s="349"/>
      <c r="AC19" s="349"/>
    </row>
    <row r="20" spans="1:29" ht="15" customHeight="1" x14ac:dyDescent="0.2">
      <c r="A20" s="41"/>
      <c r="B20" s="338"/>
      <c r="C20" s="335" t="str">
        <f>L299</f>
        <v xml:space="preserve">C-ZETA CURVE NAME   (create manually) </v>
      </c>
      <c r="D20" s="40" t="str">
        <f>M299</f>
        <v xml:space="preserve"> 129_74_38_b</v>
      </c>
      <c r="E20" s="40"/>
      <c r="F20" s="339"/>
      <c r="G20" s="40"/>
      <c r="H20" s="40"/>
      <c r="I20" s="40"/>
      <c r="J20" s="40"/>
      <c r="K20" s="40"/>
      <c r="L20" s="40"/>
      <c r="M20" s="41"/>
      <c r="U20" s="105" t="s">
        <v>80</v>
      </c>
      <c r="V20" s="343" t="s">
        <v>293</v>
      </c>
      <c r="W20" s="332"/>
      <c r="X20" s="349"/>
      <c r="Y20" s="349"/>
      <c r="Z20" s="349"/>
      <c r="AA20" s="349"/>
      <c r="AB20" s="349"/>
      <c r="AC20" s="349"/>
    </row>
    <row r="21" spans="1:29" ht="15" customHeight="1" x14ac:dyDescent="0.2">
      <c r="B21" s="340" t="s">
        <v>473</v>
      </c>
      <c r="C21" s="24"/>
      <c r="D21" s="24"/>
      <c r="E21" s="24"/>
      <c r="F21" s="17"/>
      <c r="U21" s="105"/>
      <c r="V21" s="343" t="s">
        <v>224</v>
      </c>
      <c r="W21" s="332"/>
      <c r="X21" s="349"/>
      <c r="Y21" s="349"/>
      <c r="Z21" s="349"/>
      <c r="AA21" s="349"/>
      <c r="AB21" s="349"/>
      <c r="AC21" s="349"/>
    </row>
    <row r="22" spans="1:29" ht="15" customHeight="1" x14ac:dyDescent="0.2">
      <c r="A22" s="90" t="s">
        <v>44</v>
      </c>
      <c r="B22" s="64" t="s">
        <v>62</v>
      </c>
      <c r="U22" s="105"/>
      <c r="V22" s="332" t="s">
        <v>208</v>
      </c>
      <c r="W22" s="332"/>
      <c r="X22" s="349"/>
      <c r="Y22" s="349"/>
      <c r="Z22" s="349"/>
      <c r="AA22" s="349"/>
      <c r="AB22" s="349"/>
      <c r="AC22" s="349"/>
    </row>
    <row r="23" spans="1:29" ht="15" customHeight="1" x14ac:dyDescent="0.2">
      <c r="U23" s="105" t="s">
        <v>82</v>
      </c>
      <c r="V23" s="332" t="s">
        <v>209</v>
      </c>
      <c r="W23" s="332"/>
      <c r="X23" s="349"/>
      <c r="Y23" s="349"/>
      <c r="Z23" s="349"/>
      <c r="AA23" s="349"/>
      <c r="AB23" s="349"/>
      <c r="AC23" s="349"/>
    </row>
    <row r="24" spans="1:29" ht="15" customHeight="1" x14ac:dyDescent="0.2">
      <c r="B24" s="28" t="s">
        <v>63</v>
      </c>
      <c r="U24" s="105" t="s">
        <v>85</v>
      </c>
      <c r="V24" s="332" t="s">
        <v>210</v>
      </c>
      <c r="W24" s="332"/>
      <c r="X24" s="349"/>
      <c r="Y24" s="349"/>
      <c r="Z24" s="349"/>
      <c r="AA24" s="349"/>
      <c r="AB24" s="349"/>
      <c r="AC24" s="349"/>
    </row>
    <row r="25" spans="1:29" ht="15" customHeight="1" x14ac:dyDescent="0.2">
      <c r="B25" s="28" t="s">
        <v>127</v>
      </c>
      <c r="U25" s="105" t="s">
        <v>95</v>
      </c>
      <c r="V25" s="343" t="s">
        <v>211</v>
      </c>
      <c r="W25" s="332"/>
      <c r="X25" s="349"/>
      <c r="Y25" s="349"/>
      <c r="Z25" s="349"/>
      <c r="AA25" s="349"/>
      <c r="AB25" s="349"/>
      <c r="AC25" s="349"/>
    </row>
    <row r="26" spans="1:29" ht="15" customHeight="1" x14ac:dyDescent="0.2">
      <c r="I26" s="1"/>
      <c r="J26" s="1"/>
      <c r="U26" s="105" t="s">
        <v>98</v>
      </c>
      <c r="V26" s="343" t="s">
        <v>212</v>
      </c>
      <c r="W26" s="332"/>
      <c r="X26" s="349"/>
    </row>
    <row r="27" spans="1:29" ht="15" customHeight="1" x14ac:dyDescent="0.2">
      <c r="B27" s="67"/>
      <c r="C27" s="396" t="s">
        <v>28</v>
      </c>
      <c r="D27" s="396" t="s">
        <v>28</v>
      </c>
      <c r="E27" s="400" t="s">
        <v>28</v>
      </c>
      <c r="G27" s="382" t="s">
        <v>125</v>
      </c>
      <c r="I27" s="1"/>
      <c r="J27" s="1"/>
      <c r="U27" s="105"/>
      <c r="V27" s="332"/>
      <c r="W27" s="332"/>
      <c r="X27" s="349"/>
    </row>
    <row r="28" spans="1:29" ht="15" customHeight="1" x14ac:dyDescent="0.2">
      <c r="B28" s="67"/>
      <c r="C28" s="388" t="s">
        <v>260</v>
      </c>
      <c r="D28" s="388" t="s">
        <v>261</v>
      </c>
      <c r="E28" s="388" t="s">
        <v>31</v>
      </c>
      <c r="G28" s="383" t="s">
        <v>34</v>
      </c>
      <c r="U28" s="343" t="s">
        <v>226</v>
      </c>
      <c r="V28" s="332"/>
      <c r="W28" s="332"/>
      <c r="X28" s="349"/>
    </row>
    <row r="29" spans="1:29" ht="15" customHeight="1" x14ac:dyDescent="0.2">
      <c r="B29" s="68" t="s">
        <v>21</v>
      </c>
      <c r="C29" s="397" t="s">
        <v>29</v>
      </c>
      <c r="D29" s="397" t="s">
        <v>30</v>
      </c>
      <c r="E29" s="395" t="s">
        <v>74</v>
      </c>
      <c r="G29" s="383" t="s">
        <v>35</v>
      </c>
      <c r="U29" s="343" t="s">
        <v>295</v>
      </c>
      <c r="V29" s="332"/>
      <c r="W29" s="332"/>
      <c r="X29" s="349"/>
    </row>
    <row r="30" spans="1:29" ht="15" customHeight="1" x14ac:dyDescent="0.2">
      <c r="B30" s="68">
        <v>1</v>
      </c>
      <c r="C30" s="398">
        <v>2</v>
      </c>
      <c r="D30" s="398">
        <v>0.75</v>
      </c>
      <c r="E30" s="389">
        <f>SUM(C30:D30)/2</f>
        <v>1.375</v>
      </c>
      <c r="G30" s="384">
        <v>1.7</v>
      </c>
      <c r="I30" s="28" t="s">
        <v>284</v>
      </c>
      <c r="U30" s="350"/>
      <c r="V30" s="349"/>
      <c r="W30" s="349"/>
      <c r="X30" s="349"/>
    </row>
    <row r="31" spans="1:29" ht="15" customHeight="1" x14ac:dyDescent="0.2">
      <c r="B31" s="68">
        <v>2</v>
      </c>
      <c r="C31" s="398">
        <v>4</v>
      </c>
      <c r="D31" s="398">
        <v>2</v>
      </c>
      <c r="E31" s="389">
        <f t="shared" ref="E31:E39" si="0">SUM(C31:D31)/2</f>
        <v>3</v>
      </c>
      <c r="G31" s="385">
        <v>4</v>
      </c>
      <c r="I31" t="s">
        <v>283</v>
      </c>
      <c r="U31" s="350"/>
      <c r="V31" s="349"/>
      <c r="W31" s="349"/>
      <c r="X31" s="349"/>
    </row>
    <row r="32" spans="1:29" ht="15" customHeight="1" x14ac:dyDescent="0.2">
      <c r="B32" s="68">
        <v>3</v>
      </c>
      <c r="C32" s="398">
        <v>5.8</v>
      </c>
      <c r="D32" s="398">
        <v>3.3</v>
      </c>
      <c r="E32" s="389">
        <f t="shared" si="0"/>
        <v>4.55</v>
      </c>
      <c r="G32" s="386">
        <v>6.8</v>
      </c>
    </row>
    <row r="33" spans="1:29" ht="15" customHeight="1" x14ac:dyDescent="0.2">
      <c r="B33" s="68">
        <v>4</v>
      </c>
      <c r="C33" s="398">
        <v>7.51</v>
      </c>
      <c r="D33" s="398">
        <v>4.7</v>
      </c>
      <c r="E33" s="389">
        <f t="shared" si="0"/>
        <v>6.1050000000000004</v>
      </c>
      <c r="G33" s="386">
        <v>9.4</v>
      </c>
    </row>
    <row r="34" spans="1:29" ht="15" customHeight="1" x14ac:dyDescent="0.2">
      <c r="B34" s="68">
        <v>5</v>
      </c>
      <c r="C34" s="398">
        <v>9</v>
      </c>
      <c r="D34" s="398">
        <v>5.9</v>
      </c>
      <c r="E34" s="389">
        <f t="shared" si="0"/>
        <v>7.45</v>
      </c>
      <c r="G34" s="385">
        <v>12.1</v>
      </c>
    </row>
    <row r="35" spans="1:29" ht="15" customHeight="1" x14ac:dyDescent="0.2">
      <c r="B35" s="68">
        <v>10</v>
      </c>
      <c r="C35" s="398">
        <v>11.51</v>
      </c>
      <c r="D35" s="398">
        <v>10</v>
      </c>
      <c r="E35" s="389">
        <f t="shared" si="0"/>
        <v>10.754999999999999</v>
      </c>
      <c r="G35" s="386">
        <v>25.1</v>
      </c>
    </row>
    <row r="36" spans="1:29" ht="15" customHeight="1" x14ac:dyDescent="0.2">
      <c r="B36" s="68">
        <v>20</v>
      </c>
      <c r="C36" s="398">
        <v>13</v>
      </c>
      <c r="D36" s="398">
        <v>13</v>
      </c>
      <c r="E36" s="389">
        <f t="shared" si="0"/>
        <v>13</v>
      </c>
      <c r="G36" s="386">
        <v>47.2</v>
      </c>
    </row>
    <row r="37" spans="1:29" ht="15" customHeight="1" x14ac:dyDescent="0.2">
      <c r="B37" s="68">
        <v>30</v>
      </c>
      <c r="C37" s="398">
        <v>13</v>
      </c>
      <c r="D37" s="398">
        <v>13</v>
      </c>
      <c r="E37" s="389">
        <f t="shared" si="0"/>
        <v>13</v>
      </c>
      <c r="G37" s="386">
        <v>65.2</v>
      </c>
    </row>
    <row r="38" spans="1:29" ht="15" customHeight="1" x14ac:dyDescent="0.2">
      <c r="B38" s="68">
        <v>40</v>
      </c>
      <c r="C38" s="398">
        <v>13</v>
      </c>
      <c r="D38" s="398">
        <v>13</v>
      </c>
      <c r="E38" s="389">
        <f t="shared" si="0"/>
        <v>13</v>
      </c>
      <c r="G38" s="386">
        <v>81.099999999999994</v>
      </c>
      <c r="H38" s="1"/>
    </row>
    <row r="39" spans="1:29" ht="15" customHeight="1" x14ac:dyDescent="0.2">
      <c r="B39" s="68">
        <v>50</v>
      </c>
      <c r="C39" s="399">
        <v>13</v>
      </c>
      <c r="D39" s="399">
        <v>13</v>
      </c>
      <c r="E39" s="390">
        <f t="shared" si="0"/>
        <v>13</v>
      </c>
      <c r="G39" s="387">
        <v>95.5</v>
      </c>
    </row>
    <row r="40" spans="1:29" ht="15" customHeight="1" x14ac:dyDescent="0.2"/>
    <row r="41" spans="1:29" ht="15" customHeight="1" x14ac:dyDescent="0.2"/>
    <row r="42" spans="1:29" ht="15" customHeight="1" x14ac:dyDescent="0.2"/>
    <row r="43" spans="1:29" ht="15" customHeight="1" x14ac:dyDescent="0.2"/>
    <row r="44" spans="1:29" ht="15" customHeight="1" x14ac:dyDescent="0.2"/>
    <row r="45" spans="1:29" ht="15" customHeight="1" x14ac:dyDescent="0.2">
      <c r="U45" s="105"/>
      <c r="V45" s="332" t="s">
        <v>208</v>
      </c>
      <c r="W45" s="332"/>
      <c r="X45" s="349"/>
      <c r="Y45" s="349"/>
      <c r="Z45" s="349"/>
      <c r="AA45" s="349"/>
      <c r="AB45" s="349"/>
      <c r="AC45" s="349"/>
    </row>
    <row r="46" spans="1:29" ht="15" customHeight="1" x14ac:dyDescent="0.2">
      <c r="U46" s="105"/>
      <c r="V46" s="332"/>
      <c r="W46" s="332"/>
      <c r="X46" s="349"/>
      <c r="Y46" s="349"/>
      <c r="Z46" s="349"/>
      <c r="AA46" s="349"/>
      <c r="AB46" s="349"/>
      <c r="AC46" s="349"/>
    </row>
    <row r="47" spans="1:29" ht="15" customHeight="1" x14ac:dyDescent="0.2">
      <c r="U47" s="105"/>
      <c r="V47" s="332"/>
      <c r="W47" s="332"/>
      <c r="X47" s="349"/>
      <c r="Y47" s="349"/>
      <c r="Z47" s="349"/>
      <c r="AA47" s="349"/>
      <c r="AB47" s="349"/>
      <c r="AC47" s="349"/>
    </row>
    <row r="48" spans="1:29" ht="15" customHeight="1" x14ac:dyDescent="0.2">
      <c r="A48" s="64" t="s">
        <v>465</v>
      </c>
      <c r="B48" s="64" t="s">
        <v>466</v>
      </c>
      <c r="E48" s="28" t="s">
        <v>542</v>
      </c>
      <c r="U48" s="105"/>
      <c r="V48" s="332"/>
      <c r="W48" s="332"/>
      <c r="X48" s="349"/>
      <c r="Y48" s="349"/>
      <c r="Z48" s="349"/>
      <c r="AA48" s="349"/>
      <c r="AB48" s="349"/>
      <c r="AC48" s="349"/>
    </row>
    <row r="49" spans="1:29" ht="15" customHeight="1" x14ac:dyDescent="0.2">
      <c r="A49" s="64"/>
      <c r="E49" s="28"/>
      <c r="U49" s="105"/>
      <c r="V49" s="332"/>
      <c r="W49" s="332"/>
      <c r="X49" s="349"/>
      <c r="Y49" s="349"/>
      <c r="Z49" s="349"/>
      <c r="AA49" s="349"/>
      <c r="AB49" s="349"/>
      <c r="AC49" s="349"/>
    </row>
    <row r="50" spans="1:29" ht="15" customHeight="1" x14ac:dyDescent="0.2">
      <c r="A50" s="64"/>
      <c r="B50" s="824" t="s">
        <v>557</v>
      </c>
      <c r="C50" s="825"/>
      <c r="D50" s="825"/>
      <c r="E50" s="826"/>
      <c r="F50" s="825"/>
      <c r="G50" s="825"/>
      <c r="H50" s="825"/>
      <c r="I50" s="538"/>
      <c r="U50" s="105"/>
      <c r="V50" s="332"/>
      <c r="W50" s="332"/>
      <c r="X50" s="349"/>
      <c r="Y50" s="349"/>
      <c r="Z50" s="349"/>
      <c r="AA50" s="349"/>
      <c r="AB50" s="349"/>
      <c r="AC50" s="349"/>
    </row>
    <row r="51" spans="1:29" ht="15" customHeight="1" x14ac:dyDescent="0.2">
      <c r="A51" s="64"/>
      <c r="B51" s="274"/>
      <c r="C51" s="816" t="s">
        <v>550</v>
      </c>
      <c r="D51" s="2"/>
      <c r="E51" s="2"/>
      <c r="F51" s="816" t="s">
        <v>553</v>
      </c>
      <c r="G51" s="2"/>
      <c r="H51" s="2"/>
      <c r="I51" s="817" t="s">
        <v>556</v>
      </c>
      <c r="U51" s="105"/>
      <c r="V51" s="332"/>
      <c r="W51" s="332"/>
      <c r="X51" s="349"/>
      <c r="Y51" s="349"/>
      <c r="Z51" s="349"/>
      <c r="AA51" s="349"/>
      <c r="AB51" s="349"/>
      <c r="AC51" s="349"/>
    </row>
    <row r="52" spans="1:29" ht="15" customHeight="1" x14ac:dyDescent="0.2">
      <c r="A52" s="64"/>
      <c r="B52" s="274"/>
      <c r="C52" s="2"/>
      <c r="D52" s="816" t="s">
        <v>551</v>
      </c>
      <c r="E52" s="2"/>
      <c r="F52" s="818"/>
      <c r="G52" s="816" t="s">
        <v>554</v>
      </c>
      <c r="H52" s="818"/>
      <c r="I52" s="13"/>
      <c r="U52" s="105"/>
      <c r="V52" s="332"/>
      <c r="W52" s="332"/>
      <c r="X52" s="349"/>
      <c r="Y52" s="349"/>
      <c r="Z52" s="349"/>
      <c r="AA52" s="349"/>
      <c r="AB52" s="349"/>
      <c r="AC52" s="349"/>
    </row>
    <row r="53" spans="1:29" ht="15" customHeight="1" x14ac:dyDescent="0.2">
      <c r="A53" s="64"/>
      <c r="B53" s="274"/>
      <c r="C53" s="818"/>
      <c r="D53" s="2"/>
      <c r="E53" s="819" t="s">
        <v>552</v>
      </c>
      <c r="F53" s="2"/>
      <c r="G53" s="816"/>
      <c r="H53" s="816" t="s">
        <v>555</v>
      </c>
      <c r="I53" s="820"/>
      <c r="U53" s="105"/>
      <c r="V53" s="332"/>
      <c r="W53" s="332"/>
      <c r="X53" s="349"/>
      <c r="Y53" s="349"/>
      <c r="Z53" s="349"/>
      <c r="AA53" s="349"/>
      <c r="AB53" s="349"/>
      <c r="AC53" s="349"/>
    </row>
    <row r="54" spans="1:29" ht="15" customHeight="1" x14ac:dyDescent="0.2">
      <c r="B54" s="35"/>
      <c r="C54" s="1"/>
      <c r="D54" s="1"/>
      <c r="E54" s="1"/>
      <c r="F54" s="1"/>
      <c r="G54" s="1"/>
      <c r="H54" s="1"/>
      <c r="I54" s="22"/>
      <c r="K54" s="28"/>
      <c r="U54" s="105"/>
      <c r="V54" s="332"/>
      <c r="W54" s="332"/>
      <c r="X54" s="349"/>
      <c r="Y54" s="349"/>
      <c r="Z54" s="349"/>
      <c r="AA54" s="349"/>
      <c r="AB54" s="349"/>
      <c r="AC54" s="349"/>
    </row>
    <row r="55" spans="1:29" ht="15" customHeight="1" x14ac:dyDescent="0.2">
      <c r="B55" s="821"/>
      <c r="C55" s="396" t="s">
        <v>28</v>
      </c>
      <c r="D55" s="396" t="s">
        <v>28</v>
      </c>
      <c r="E55" s="396" t="s">
        <v>28</v>
      </c>
      <c r="F55" s="396" t="s">
        <v>28</v>
      </c>
      <c r="G55" s="396" t="s">
        <v>28</v>
      </c>
      <c r="H55" s="396" t="s">
        <v>28</v>
      </c>
      <c r="I55" s="396" t="s">
        <v>28</v>
      </c>
      <c r="K55" s="28"/>
      <c r="U55" s="105"/>
      <c r="V55" s="332"/>
      <c r="W55" s="332"/>
      <c r="X55" s="349"/>
      <c r="Y55" s="349"/>
      <c r="Z55" s="349"/>
      <c r="AA55" s="349"/>
      <c r="AB55" s="349"/>
      <c r="AC55" s="349"/>
    </row>
    <row r="56" spans="1:29" ht="15" customHeight="1" x14ac:dyDescent="0.2">
      <c r="B56" s="821"/>
      <c r="C56" s="815">
        <v>0</v>
      </c>
      <c r="D56" s="815">
        <v>1</v>
      </c>
      <c r="E56" s="815">
        <v>2</v>
      </c>
      <c r="F56" s="815">
        <v>3</v>
      </c>
      <c r="G56" s="815">
        <v>4</v>
      </c>
      <c r="H56" s="815">
        <v>5</v>
      </c>
      <c r="I56" s="815">
        <v>6</v>
      </c>
    </row>
    <row r="57" spans="1:29" ht="15" customHeight="1" x14ac:dyDescent="0.2">
      <c r="B57" s="821"/>
      <c r="C57" s="388" t="s">
        <v>543</v>
      </c>
      <c r="D57" s="388" t="s">
        <v>544</v>
      </c>
      <c r="E57" s="388" t="s">
        <v>545</v>
      </c>
      <c r="F57" s="388" t="s">
        <v>546</v>
      </c>
      <c r="G57" s="388" t="s">
        <v>547</v>
      </c>
      <c r="H57" s="388" t="s">
        <v>548</v>
      </c>
      <c r="I57" s="388" t="s">
        <v>549</v>
      </c>
    </row>
    <row r="58" spans="1:29" ht="15" customHeight="1" x14ac:dyDescent="0.2">
      <c r="B58" s="822" t="s">
        <v>21</v>
      </c>
      <c r="C58" s="397"/>
      <c r="D58" s="397"/>
      <c r="E58" s="397"/>
      <c r="F58" s="397"/>
      <c r="G58" s="397"/>
      <c r="H58" s="397"/>
      <c r="I58" s="397"/>
    </row>
    <row r="59" spans="1:29" ht="15" customHeight="1" x14ac:dyDescent="0.2">
      <c r="B59" s="822">
        <v>1</v>
      </c>
      <c r="C59" s="723">
        <v>7.4999999999999997E-3</v>
      </c>
      <c r="D59" s="812">
        <f t="shared" ref="D59:H68" si="1">(($I59-$C59)/6)*D$56+$C59</f>
        <v>2.7916666666666666E-2</v>
      </c>
      <c r="E59" s="812">
        <f t="shared" si="1"/>
        <v>4.8333333333333332E-2</v>
      </c>
      <c r="F59" s="812">
        <f t="shared" si="1"/>
        <v>6.8750000000000006E-2</v>
      </c>
      <c r="G59" s="812">
        <f t="shared" si="1"/>
        <v>8.9166666666666672E-2</v>
      </c>
      <c r="H59" s="812">
        <f t="shared" si="1"/>
        <v>0.10958333333333334</v>
      </c>
      <c r="I59" s="723">
        <v>0.13</v>
      </c>
    </row>
    <row r="60" spans="1:29" ht="15" customHeight="1" x14ac:dyDescent="0.2">
      <c r="B60" s="822">
        <v>2</v>
      </c>
      <c r="C60" s="724">
        <v>0.02</v>
      </c>
      <c r="D60" s="813">
        <f t="shared" si="1"/>
        <v>3.833333333333333E-2</v>
      </c>
      <c r="E60" s="813">
        <f t="shared" si="1"/>
        <v>5.6666666666666671E-2</v>
      </c>
      <c r="F60" s="813">
        <f t="shared" si="1"/>
        <v>7.4999999999999997E-2</v>
      </c>
      <c r="G60" s="813">
        <f t="shared" si="1"/>
        <v>9.3333333333333338E-2</v>
      </c>
      <c r="H60" s="813">
        <f t="shared" si="1"/>
        <v>0.11166666666666668</v>
      </c>
      <c r="I60" s="724">
        <v>0.13</v>
      </c>
    </row>
    <row r="61" spans="1:29" ht="15" customHeight="1" x14ac:dyDescent="0.2">
      <c r="B61" s="822">
        <v>3</v>
      </c>
      <c r="C61" s="722">
        <v>3.3000000000000002E-2</v>
      </c>
      <c r="D61" s="814">
        <f t="shared" si="1"/>
        <v>4.9166666666666664E-2</v>
      </c>
      <c r="E61" s="814">
        <f t="shared" si="1"/>
        <v>6.5333333333333327E-2</v>
      </c>
      <c r="F61" s="814">
        <f t="shared" si="1"/>
        <v>8.1500000000000003E-2</v>
      </c>
      <c r="G61" s="814">
        <f t="shared" si="1"/>
        <v>9.7666666666666666E-2</v>
      </c>
      <c r="H61" s="814">
        <f t="shared" si="1"/>
        <v>0.11383333333333333</v>
      </c>
      <c r="I61" s="722">
        <v>0.13</v>
      </c>
    </row>
    <row r="62" spans="1:29" ht="15" customHeight="1" x14ac:dyDescent="0.2">
      <c r="B62" s="822">
        <v>4</v>
      </c>
      <c r="C62" s="722">
        <v>4.7E-2</v>
      </c>
      <c r="D62" s="814">
        <f t="shared" si="1"/>
        <v>6.0833333333333336E-2</v>
      </c>
      <c r="E62" s="814">
        <f t="shared" si="1"/>
        <v>7.4666666666666673E-2</v>
      </c>
      <c r="F62" s="814">
        <f t="shared" si="1"/>
        <v>8.8499999999999995E-2</v>
      </c>
      <c r="G62" s="814">
        <f t="shared" si="1"/>
        <v>0.10233333333333333</v>
      </c>
      <c r="H62" s="814">
        <f t="shared" si="1"/>
        <v>0.11616666666666667</v>
      </c>
      <c r="I62" s="722">
        <v>0.13</v>
      </c>
    </row>
    <row r="63" spans="1:29" ht="15" customHeight="1" x14ac:dyDescent="0.2">
      <c r="B63" s="822">
        <v>5</v>
      </c>
      <c r="C63" s="724">
        <v>5.8999999999999997E-2</v>
      </c>
      <c r="D63" s="813">
        <f t="shared" si="1"/>
        <v>7.0833333333333331E-2</v>
      </c>
      <c r="E63" s="813">
        <f t="shared" si="1"/>
        <v>8.2666666666666666E-2</v>
      </c>
      <c r="F63" s="813">
        <f t="shared" si="1"/>
        <v>9.4500000000000001E-2</v>
      </c>
      <c r="G63" s="813">
        <f t="shared" si="1"/>
        <v>0.10633333333333334</v>
      </c>
      <c r="H63" s="813">
        <f t="shared" si="1"/>
        <v>0.11816666666666667</v>
      </c>
      <c r="I63" s="724">
        <v>0.13</v>
      </c>
    </row>
    <row r="64" spans="1:29" ht="15" customHeight="1" x14ac:dyDescent="0.2">
      <c r="B64" s="822">
        <v>10</v>
      </c>
      <c r="C64" s="722">
        <v>0.1</v>
      </c>
      <c r="D64" s="814">
        <f t="shared" si="1"/>
        <v>0.10500000000000001</v>
      </c>
      <c r="E64" s="814">
        <f t="shared" si="1"/>
        <v>0.11</v>
      </c>
      <c r="F64" s="814">
        <f t="shared" si="1"/>
        <v>0.115</v>
      </c>
      <c r="G64" s="814">
        <f t="shared" si="1"/>
        <v>0.12000000000000001</v>
      </c>
      <c r="H64" s="814">
        <f t="shared" si="1"/>
        <v>0.125</v>
      </c>
      <c r="I64" s="722">
        <v>0.13</v>
      </c>
    </row>
    <row r="65" spans="1:12" ht="15" customHeight="1" x14ac:dyDescent="0.2">
      <c r="B65" s="822">
        <v>20</v>
      </c>
      <c r="C65" s="398">
        <v>0.13</v>
      </c>
      <c r="D65" s="528">
        <f t="shared" si="1"/>
        <v>0.13</v>
      </c>
      <c r="E65" s="528">
        <f t="shared" si="1"/>
        <v>0.13</v>
      </c>
      <c r="F65" s="528">
        <f t="shared" si="1"/>
        <v>0.13</v>
      </c>
      <c r="G65" s="528">
        <f t="shared" si="1"/>
        <v>0.13</v>
      </c>
      <c r="H65" s="528">
        <f t="shared" si="1"/>
        <v>0.13</v>
      </c>
      <c r="I65" s="722">
        <v>0.13</v>
      </c>
    </row>
    <row r="66" spans="1:12" ht="15" customHeight="1" x14ac:dyDescent="0.2">
      <c r="B66" s="822">
        <v>30</v>
      </c>
      <c r="C66" s="398">
        <v>0.13</v>
      </c>
      <c r="D66" s="528">
        <f t="shared" si="1"/>
        <v>0.13</v>
      </c>
      <c r="E66" s="528">
        <f t="shared" si="1"/>
        <v>0.13</v>
      </c>
      <c r="F66" s="528">
        <f t="shared" si="1"/>
        <v>0.13</v>
      </c>
      <c r="G66" s="528">
        <f t="shared" si="1"/>
        <v>0.13</v>
      </c>
      <c r="H66" s="528">
        <f t="shared" si="1"/>
        <v>0.13</v>
      </c>
      <c r="I66" s="722">
        <v>0.13</v>
      </c>
    </row>
    <row r="67" spans="1:12" ht="15" customHeight="1" x14ac:dyDescent="0.2">
      <c r="B67" s="822">
        <v>40</v>
      </c>
      <c r="C67" s="398">
        <v>0.13</v>
      </c>
      <c r="D67" s="528">
        <f t="shared" si="1"/>
        <v>0.13</v>
      </c>
      <c r="E67" s="528">
        <f t="shared" si="1"/>
        <v>0.13</v>
      </c>
      <c r="F67" s="528">
        <f t="shared" si="1"/>
        <v>0.13</v>
      </c>
      <c r="G67" s="528">
        <f t="shared" si="1"/>
        <v>0.13</v>
      </c>
      <c r="H67" s="528">
        <f t="shared" si="1"/>
        <v>0.13</v>
      </c>
      <c r="I67" s="722">
        <v>0.13</v>
      </c>
    </row>
    <row r="68" spans="1:12" ht="15" customHeight="1" x14ac:dyDescent="0.2">
      <c r="B68" s="823">
        <v>50</v>
      </c>
      <c r="C68" s="725">
        <v>0.13</v>
      </c>
      <c r="D68" s="529">
        <f t="shared" si="1"/>
        <v>0.13</v>
      </c>
      <c r="E68" s="529">
        <f t="shared" si="1"/>
        <v>0.13</v>
      </c>
      <c r="F68" s="529">
        <f t="shared" si="1"/>
        <v>0.13</v>
      </c>
      <c r="G68" s="529">
        <f t="shared" si="1"/>
        <v>0.13</v>
      </c>
      <c r="H68" s="529">
        <f t="shared" si="1"/>
        <v>0.13</v>
      </c>
      <c r="I68" s="726">
        <v>0.13</v>
      </c>
    </row>
    <row r="69" spans="1:12" ht="15" customHeight="1" x14ac:dyDescent="0.2">
      <c r="A69" s="41"/>
      <c r="B69" s="66"/>
      <c r="C69" s="827"/>
      <c r="D69" s="828"/>
      <c r="E69" s="828"/>
      <c r="F69" s="828"/>
      <c r="G69" s="828"/>
      <c r="H69" s="828"/>
      <c r="I69" s="829"/>
      <c r="J69" s="41"/>
      <c r="K69" s="41"/>
      <c r="L69" s="41"/>
    </row>
    <row r="70" spans="1:12" ht="15" customHeight="1" x14ac:dyDescent="0.2">
      <c r="A70" s="41"/>
      <c r="B70" s="66"/>
      <c r="C70" s="827"/>
      <c r="D70" s="828"/>
      <c r="E70" s="828"/>
      <c r="F70" s="828"/>
      <c r="G70" s="828"/>
      <c r="H70" s="828"/>
      <c r="I70" s="829"/>
      <c r="J70" s="41"/>
      <c r="K70" s="41"/>
      <c r="L70" s="41"/>
    </row>
    <row r="71" spans="1:12" ht="15" customHeight="1" x14ac:dyDescent="0.2">
      <c r="A71" s="41"/>
      <c r="B71" s="66"/>
      <c r="C71" s="827"/>
      <c r="D71" s="828"/>
      <c r="E71" s="828"/>
      <c r="F71" s="828"/>
      <c r="G71" s="828"/>
      <c r="H71" s="828"/>
      <c r="I71" s="829"/>
      <c r="J71" s="41"/>
      <c r="K71" s="41"/>
      <c r="L71" s="41"/>
    </row>
    <row r="72" spans="1:12" ht="15" customHeight="1" x14ac:dyDescent="0.2">
      <c r="A72" s="41"/>
      <c r="B72" s="66"/>
      <c r="C72" s="827"/>
      <c r="D72" s="828"/>
      <c r="E72" s="828"/>
      <c r="F72" s="828"/>
      <c r="G72" s="828"/>
      <c r="H72" s="828"/>
      <c r="I72" s="829"/>
      <c r="J72" s="41"/>
      <c r="K72" s="41"/>
      <c r="L72" s="41"/>
    </row>
    <row r="73" spans="1:12" ht="15" customHeight="1" x14ac:dyDescent="0.2">
      <c r="A73" s="41"/>
      <c r="B73" s="66"/>
      <c r="C73" s="827"/>
      <c r="D73" s="828"/>
      <c r="E73" s="828"/>
      <c r="F73" s="828"/>
      <c r="G73" s="828"/>
      <c r="H73" s="828"/>
      <c r="I73" s="829"/>
      <c r="J73" s="41"/>
      <c r="K73" s="41"/>
      <c r="L73" s="41"/>
    </row>
    <row r="74" spans="1:12" ht="15" customHeight="1" x14ac:dyDescent="0.2">
      <c r="A74" s="41"/>
      <c r="B74" s="66"/>
      <c r="C74" s="827"/>
      <c r="D74" s="828"/>
      <c r="E74" s="828"/>
      <c r="F74" s="828"/>
      <c r="G74" s="828"/>
      <c r="H74" s="828"/>
      <c r="I74" s="829"/>
      <c r="J74" s="41"/>
      <c r="K74" s="41"/>
      <c r="L74" s="41"/>
    </row>
    <row r="75" spans="1:12" ht="15" customHeight="1" x14ac:dyDescent="0.2">
      <c r="A75" s="41"/>
      <c r="B75" s="66"/>
      <c r="C75" s="827"/>
      <c r="D75" s="828"/>
      <c r="E75" s="828"/>
      <c r="F75" s="828"/>
      <c r="G75" s="828"/>
      <c r="H75" s="828"/>
      <c r="I75" s="829"/>
      <c r="J75" s="41"/>
      <c r="K75" s="41"/>
      <c r="L75" s="41"/>
    </row>
    <row r="76" spans="1:12" ht="15" customHeight="1" x14ac:dyDescent="0.2">
      <c r="A76" s="41"/>
      <c r="B76" s="66"/>
      <c r="C76" s="827"/>
      <c r="D76" s="828"/>
      <c r="E76" s="828"/>
      <c r="F76" s="828"/>
      <c r="G76" s="828"/>
      <c r="H76" s="828"/>
      <c r="I76" s="829"/>
      <c r="J76" s="41"/>
      <c r="K76" s="41"/>
      <c r="L76" s="41"/>
    </row>
    <row r="77" spans="1:12" ht="15" customHeight="1" x14ac:dyDescent="0.2">
      <c r="A77" s="41"/>
      <c r="B77" s="66"/>
      <c r="C77" s="827"/>
      <c r="D77" s="828"/>
      <c r="E77" s="828"/>
      <c r="F77" s="828"/>
      <c r="G77" s="828"/>
      <c r="H77" s="828"/>
      <c r="I77" s="829"/>
      <c r="J77" s="41"/>
      <c r="K77" s="41"/>
      <c r="L77" s="41"/>
    </row>
    <row r="78" spans="1:12" ht="15" customHeight="1" x14ac:dyDescent="0.2">
      <c r="A78" s="41"/>
      <c r="B78" s="66"/>
      <c r="C78" s="827"/>
      <c r="D78" s="828"/>
      <c r="E78" s="828"/>
      <c r="F78" s="828"/>
      <c r="G78" s="828"/>
      <c r="H78" s="828"/>
      <c r="I78" s="829"/>
      <c r="J78" s="41"/>
      <c r="K78" s="41"/>
      <c r="L78" s="41"/>
    </row>
    <row r="79" spans="1:12" ht="15" customHeight="1" x14ac:dyDescent="0.2">
      <c r="A79" s="41"/>
      <c r="B79" s="66"/>
      <c r="C79" s="827"/>
      <c r="D79" s="828"/>
      <c r="E79" s="828"/>
      <c r="F79" s="828"/>
      <c r="G79" s="828"/>
      <c r="H79" s="828"/>
      <c r="I79" s="829"/>
      <c r="J79" s="41"/>
      <c r="K79" s="41"/>
      <c r="L79" s="41"/>
    </row>
    <row r="80" spans="1:12" ht="15" customHeight="1" x14ac:dyDescent="0.2">
      <c r="A80" s="41"/>
      <c r="B80" s="66"/>
      <c r="C80" s="827"/>
      <c r="D80" s="828"/>
      <c r="E80" s="828"/>
      <c r="F80" s="828"/>
      <c r="G80" s="828"/>
      <c r="H80" s="828"/>
      <c r="I80" s="829"/>
      <c r="J80" s="41"/>
      <c r="K80" s="41"/>
      <c r="L80" s="41"/>
    </row>
    <row r="81" spans="1:12" ht="15" customHeight="1" x14ac:dyDescent="0.2">
      <c r="A81" s="41"/>
      <c r="B81" s="66"/>
      <c r="C81" s="827"/>
      <c r="D81" s="828"/>
      <c r="E81" s="828"/>
      <c r="F81" s="828"/>
      <c r="G81" s="828"/>
      <c r="H81" s="828"/>
      <c r="I81" s="829"/>
      <c r="J81" s="41"/>
      <c r="K81" s="41"/>
      <c r="L81" s="41"/>
    </row>
    <row r="82" spans="1:12" ht="15" customHeight="1" x14ac:dyDescent="0.2">
      <c r="A82" s="41"/>
      <c r="B82" s="66"/>
      <c r="C82" s="827"/>
      <c r="D82" s="828"/>
      <c r="E82" s="828"/>
      <c r="F82" s="828"/>
      <c r="G82" s="828"/>
      <c r="H82" s="828"/>
      <c r="I82" s="829"/>
      <c r="J82" s="41"/>
      <c r="K82" s="41"/>
      <c r="L82" s="41"/>
    </row>
    <row r="83" spans="1:12" ht="15" customHeight="1" x14ac:dyDescent="0.2">
      <c r="A83" s="41"/>
      <c r="B83" s="66"/>
      <c r="C83" s="827"/>
      <c r="D83" s="828"/>
      <c r="E83" s="828"/>
      <c r="F83" s="828"/>
      <c r="G83" s="828"/>
      <c r="H83" s="828"/>
      <c r="I83" s="829"/>
      <c r="J83" s="41"/>
      <c r="K83" s="41"/>
      <c r="L83" s="41"/>
    </row>
    <row r="84" spans="1:12" ht="15" customHeight="1" x14ac:dyDescent="0.2">
      <c r="A84" s="41"/>
      <c r="B84" s="66"/>
      <c r="C84" s="827"/>
      <c r="D84" s="828"/>
      <c r="E84" s="828"/>
      <c r="F84" s="828"/>
      <c r="G84" s="828"/>
      <c r="H84" s="828"/>
      <c r="I84" s="829"/>
      <c r="J84" s="41"/>
      <c r="K84" s="41"/>
      <c r="L84" s="41"/>
    </row>
    <row r="85" spans="1:12" ht="15" customHeight="1" x14ac:dyDescent="0.2">
      <c r="A85" s="41"/>
      <c r="B85" s="66"/>
      <c r="C85" s="827"/>
      <c r="D85" s="828"/>
      <c r="E85" s="828"/>
      <c r="F85" s="828"/>
      <c r="G85" s="828"/>
      <c r="H85" s="828"/>
      <c r="I85" s="829"/>
      <c r="J85" s="41"/>
      <c r="K85" s="41"/>
      <c r="L85" s="41"/>
    </row>
    <row r="86" spans="1:12" ht="15" customHeight="1" x14ac:dyDescent="0.2">
      <c r="A86" s="41"/>
      <c r="B86" s="66"/>
      <c r="C86" s="827"/>
      <c r="D86" s="828"/>
      <c r="E86" s="828"/>
      <c r="F86" s="828"/>
      <c r="G86" s="828"/>
      <c r="H86" s="828"/>
      <c r="I86" s="829"/>
      <c r="J86" s="41"/>
      <c r="K86" s="41"/>
      <c r="L86" s="41"/>
    </row>
    <row r="87" spans="1:12" ht="15" customHeight="1" x14ac:dyDescent="0.2">
      <c r="A87" s="41"/>
      <c r="B87" s="66"/>
      <c r="C87" s="827"/>
      <c r="D87" s="828"/>
      <c r="E87" s="828"/>
      <c r="F87" s="828"/>
      <c r="G87" s="828"/>
      <c r="H87" s="828"/>
      <c r="I87" s="829"/>
      <c r="J87" s="41"/>
      <c r="K87" s="41"/>
      <c r="L87" s="41"/>
    </row>
    <row r="88" spans="1:12" ht="15" customHeight="1" x14ac:dyDescent="0.2">
      <c r="A88" s="41"/>
      <c r="B88" s="66"/>
      <c r="C88" s="827"/>
      <c r="D88" s="828"/>
      <c r="E88" s="828"/>
      <c r="F88" s="828"/>
      <c r="G88" s="828"/>
      <c r="H88" s="828"/>
      <c r="I88" s="829"/>
      <c r="J88" s="41"/>
      <c r="K88" s="41"/>
      <c r="L88" s="41"/>
    </row>
    <row r="89" spans="1:12" ht="15" customHeight="1" x14ac:dyDescent="0.2">
      <c r="A89" s="41"/>
      <c r="B89" s="66"/>
      <c r="C89" s="827"/>
      <c r="D89" s="828"/>
      <c r="E89" s="828"/>
      <c r="F89" s="828"/>
      <c r="G89" s="828"/>
      <c r="H89" s="828"/>
      <c r="I89" s="829"/>
      <c r="J89" s="41"/>
      <c r="K89" s="41"/>
      <c r="L89" s="41"/>
    </row>
    <row r="90" spans="1:12" ht="15" customHeight="1" x14ac:dyDescent="0.2">
      <c r="A90" s="41"/>
      <c r="B90" s="66"/>
      <c r="C90" s="827"/>
      <c r="D90" s="828"/>
      <c r="E90" s="828"/>
      <c r="F90" s="828"/>
      <c r="G90" s="828"/>
      <c r="H90" s="828"/>
      <c r="I90" s="829"/>
      <c r="J90" s="41"/>
      <c r="K90" s="41"/>
      <c r="L90" s="41"/>
    </row>
    <row r="91" spans="1:12" ht="15" customHeight="1" x14ac:dyDescent="0.2">
      <c r="A91" s="41"/>
      <c r="B91" s="66"/>
      <c r="C91" s="827"/>
      <c r="D91" s="828"/>
      <c r="E91" s="828"/>
      <c r="F91" s="828"/>
      <c r="G91" s="828"/>
      <c r="H91" s="828"/>
      <c r="I91" s="829"/>
      <c r="J91" s="41"/>
      <c r="K91" s="41"/>
      <c r="L91" s="41"/>
    </row>
    <row r="92" spans="1:12" ht="15" customHeight="1" x14ac:dyDescent="0.2">
      <c r="A92" s="41"/>
      <c r="B92" s="66"/>
      <c r="C92" s="827"/>
      <c r="D92" s="828"/>
      <c r="E92" s="828"/>
      <c r="F92" s="828"/>
      <c r="G92" s="828"/>
      <c r="H92" s="828"/>
      <c r="I92" s="829"/>
      <c r="J92" s="41"/>
      <c r="K92" s="41"/>
      <c r="L92" s="41"/>
    </row>
    <row r="93" spans="1:12" ht="15" customHeight="1" x14ac:dyDescent="0.2">
      <c r="A93" s="41"/>
      <c r="B93" s="66"/>
      <c r="C93" s="827"/>
      <c r="D93" s="828"/>
      <c r="E93" s="828"/>
      <c r="F93" s="828"/>
      <c r="G93" s="828"/>
      <c r="H93" s="828"/>
      <c r="I93" s="829"/>
      <c r="J93" s="41"/>
      <c r="K93" s="41"/>
      <c r="L93" s="41"/>
    </row>
    <row r="94" spans="1:12" ht="15" customHeight="1" x14ac:dyDescent="0.2">
      <c r="A94" s="41"/>
      <c r="B94" s="66"/>
      <c r="C94" s="827"/>
      <c r="D94" s="828"/>
      <c r="E94" s="828"/>
      <c r="F94" s="828"/>
      <c r="G94" s="828"/>
      <c r="H94" s="828"/>
      <c r="I94" s="829"/>
      <c r="J94" s="41"/>
      <c r="K94" s="41"/>
      <c r="L94" s="41"/>
    </row>
    <row r="95" spans="1:12" ht="15" customHeight="1" x14ac:dyDescent="0.2">
      <c r="A95" s="41"/>
      <c r="B95" s="66"/>
      <c r="C95" s="827"/>
      <c r="D95" s="828"/>
      <c r="E95" s="828"/>
      <c r="F95" s="828"/>
      <c r="G95" s="828"/>
      <c r="H95" s="828"/>
      <c r="I95" s="829"/>
      <c r="J95" s="41"/>
      <c r="K95" s="41"/>
      <c r="L95" s="41"/>
    </row>
    <row r="96" spans="1:12" ht="15" customHeight="1" x14ac:dyDescent="0.2">
      <c r="A96" s="41"/>
      <c r="B96" s="66"/>
      <c r="C96" s="827"/>
      <c r="D96" s="828"/>
      <c r="E96" s="828"/>
      <c r="F96" s="828"/>
      <c r="G96" s="828"/>
      <c r="H96" s="828"/>
      <c r="I96" s="829"/>
      <c r="J96" s="41"/>
      <c r="K96" s="41"/>
      <c r="L96" s="41"/>
    </row>
    <row r="97" spans="1:5" ht="15" customHeight="1" x14ac:dyDescent="0.2">
      <c r="B97" s="721"/>
      <c r="C97" s="719"/>
      <c r="D97" s="719"/>
      <c r="E97" s="720"/>
    </row>
    <row r="98" spans="1:5" ht="15" customHeight="1" x14ac:dyDescent="0.2">
      <c r="B98" s="721"/>
      <c r="C98" s="719"/>
      <c r="D98" s="719"/>
      <c r="E98" s="720"/>
    </row>
    <row r="99" spans="1:5" ht="15" customHeight="1" x14ac:dyDescent="0.2"/>
    <row r="100" spans="1:5" ht="15" customHeight="1" x14ac:dyDescent="0.2">
      <c r="A100" s="64" t="s">
        <v>45</v>
      </c>
      <c r="B100" s="64" t="s">
        <v>113</v>
      </c>
    </row>
    <row r="101" spans="1:5" ht="15" customHeight="1" x14ac:dyDescent="0.2">
      <c r="B101" s="90" t="s">
        <v>65</v>
      </c>
    </row>
    <row r="102" spans="1:5" ht="15" customHeight="1" x14ac:dyDescent="0.2">
      <c r="B102" s="64" t="s">
        <v>426</v>
      </c>
    </row>
    <row r="103" spans="1:5" ht="15" customHeight="1" x14ac:dyDescent="0.2"/>
    <row r="104" spans="1:5" ht="15" customHeight="1" x14ac:dyDescent="0.2">
      <c r="B104" s="117" t="s">
        <v>125</v>
      </c>
      <c r="C104" s="117"/>
      <c r="D104" s="117"/>
    </row>
    <row r="105" spans="1:5" ht="15" customHeight="1" x14ac:dyDescent="0.2">
      <c r="B105" s="117" t="s">
        <v>34</v>
      </c>
      <c r="C105" s="117"/>
      <c r="D105" s="117" t="s">
        <v>34</v>
      </c>
    </row>
    <row r="106" spans="1:5" ht="15" customHeight="1" x14ac:dyDescent="0.2">
      <c r="B106" s="117" t="s">
        <v>42</v>
      </c>
      <c r="C106" s="117"/>
      <c r="D106" s="117" t="s">
        <v>42</v>
      </c>
    </row>
    <row r="107" spans="1:5" ht="15" customHeight="1" x14ac:dyDescent="0.2">
      <c r="A107" s="53"/>
      <c r="B107" s="117" t="s">
        <v>43</v>
      </c>
      <c r="C107" s="117" t="s">
        <v>21</v>
      </c>
      <c r="D107" s="117" t="s">
        <v>43</v>
      </c>
    </row>
    <row r="108" spans="1:5" ht="15" customHeight="1" x14ac:dyDescent="0.2">
      <c r="B108" s="715">
        <v>29.9</v>
      </c>
      <c r="C108" s="106">
        <v>1</v>
      </c>
      <c r="D108" s="175">
        <v>29.9</v>
      </c>
      <c r="E108" s="38"/>
    </row>
    <row r="109" spans="1:5" ht="15" customHeight="1" x14ac:dyDescent="0.2">
      <c r="B109" s="716">
        <v>57.505714285714284</v>
      </c>
      <c r="C109" s="106">
        <v>2</v>
      </c>
      <c r="D109" s="176">
        <v>57.505714285714284</v>
      </c>
      <c r="E109" s="605">
        <f>D109/D108</f>
        <v>1.9232680363115147</v>
      </c>
    </row>
    <row r="110" spans="1:5" ht="15" customHeight="1" x14ac:dyDescent="0.2">
      <c r="B110" s="65">
        <v>79.491428571428571</v>
      </c>
      <c r="C110" s="106">
        <v>3</v>
      </c>
      <c r="D110" s="717">
        <v>79.491428571428571</v>
      </c>
      <c r="E110" s="605">
        <f t="shared" ref="E110:E112" si="2">D110/D109</f>
        <v>1.3823222536890745</v>
      </c>
    </row>
    <row r="111" spans="1:5" ht="15" customHeight="1" x14ac:dyDescent="0.2">
      <c r="B111" s="65">
        <v>97.505714285714305</v>
      </c>
      <c r="C111" s="106">
        <v>4</v>
      </c>
      <c r="D111" s="717">
        <v>97.505714285714305</v>
      </c>
      <c r="E111" s="605">
        <f t="shared" si="2"/>
        <v>1.2266192221982606</v>
      </c>
    </row>
    <row r="112" spans="1:5" ht="15" customHeight="1" x14ac:dyDescent="0.2">
      <c r="B112" s="716">
        <v>113.39857142857147</v>
      </c>
      <c r="C112" s="106">
        <v>5</v>
      </c>
      <c r="D112" s="176">
        <v>113.39857142857147</v>
      </c>
      <c r="E112" s="605">
        <f t="shared" si="2"/>
        <v>1.1629941102352979</v>
      </c>
    </row>
    <row r="113" spans="1:8" ht="15" customHeight="1" x14ac:dyDescent="0.2">
      <c r="B113" s="65">
        <v>181.91714285714289</v>
      </c>
      <c r="C113" s="106">
        <v>10</v>
      </c>
      <c r="D113" s="177">
        <v>181.91714285714289</v>
      </c>
      <c r="E113" s="605">
        <f>(D113/D112)/5</f>
        <v>0.320845563688129</v>
      </c>
    </row>
    <row r="114" spans="1:8" ht="15" customHeight="1" x14ac:dyDescent="0.2">
      <c r="B114" s="65">
        <v>301.8314285714286</v>
      </c>
      <c r="C114" s="106">
        <v>20</v>
      </c>
      <c r="D114" s="177">
        <v>301.8314285714286</v>
      </c>
      <c r="E114" s="605">
        <f>(D114/D113)/10</f>
        <v>0.16591697947260134</v>
      </c>
    </row>
    <row r="115" spans="1:8" ht="15" customHeight="1" x14ac:dyDescent="0.2">
      <c r="B115" s="65">
        <v>415.40285714285716</v>
      </c>
      <c r="C115" s="106">
        <v>30</v>
      </c>
      <c r="D115" s="177">
        <v>415.40285714285716</v>
      </c>
      <c r="E115" s="605">
        <f t="shared" ref="E115:E117" si="3">(D115/D114)/10</f>
        <v>0.13762743631733892</v>
      </c>
    </row>
    <row r="116" spans="1:8" ht="15" customHeight="1" x14ac:dyDescent="0.2">
      <c r="B116" s="65">
        <v>521.43142857142857</v>
      </c>
      <c r="C116" s="106">
        <v>40</v>
      </c>
      <c r="D116" s="177">
        <v>521.43142857142857</v>
      </c>
      <c r="E116" s="605">
        <f t="shared" si="3"/>
        <v>0.12552427591804169</v>
      </c>
    </row>
    <row r="117" spans="1:8" ht="15" customHeight="1" x14ac:dyDescent="0.2">
      <c r="B117" s="716">
        <v>618.71714285714279</v>
      </c>
      <c r="C117" s="106">
        <v>50</v>
      </c>
      <c r="D117" s="176">
        <v>618.71714285714279</v>
      </c>
      <c r="E117" s="605">
        <f t="shared" si="3"/>
        <v>0.11865743201407115</v>
      </c>
    </row>
    <row r="118" spans="1:8" ht="15" customHeight="1" x14ac:dyDescent="0.2"/>
    <row r="119" spans="1:8" ht="15" customHeight="1" x14ac:dyDescent="0.2">
      <c r="C119" s="315" t="s">
        <v>126</v>
      </c>
      <c r="H119" s="213"/>
    </row>
    <row r="120" spans="1:8" ht="15" customHeight="1" x14ac:dyDescent="0.2"/>
    <row r="121" spans="1:8" ht="15" customHeight="1" x14ac:dyDescent="0.2"/>
    <row r="122" spans="1:8" ht="15" customHeight="1" x14ac:dyDescent="0.2">
      <c r="A122" s="64" t="s">
        <v>48</v>
      </c>
      <c r="B122" s="64" t="s">
        <v>310</v>
      </c>
    </row>
    <row r="123" spans="1:8" ht="15" customHeight="1" x14ac:dyDescent="0.2">
      <c r="B123" s="64" t="s">
        <v>309</v>
      </c>
    </row>
    <row r="124" spans="1:8" ht="15" customHeight="1" x14ac:dyDescent="0.2">
      <c r="B124" s="90"/>
      <c r="H124" s="53"/>
    </row>
    <row r="125" spans="1:8" ht="15" customHeight="1" x14ac:dyDescent="0.2"/>
    <row r="126" spans="1:8" ht="15" customHeight="1" x14ac:dyDescent="0.2">
      <c r="E126" s="409">
        <f>INDEX(LINEST(D$134:D$138,($C$134:$C$138)^{1,2,3}),1)</f>
        <v>0.29154761904761367</v>
      </c>
      <c r="F126" s="408">
        <f>INDEX(LINEST(D$139:D$143,($C$139:$C$143)^{1,2,3}),1)</f>
        <v>-1.9999999999999434E-4</v>
      </c>
      <c r="H126" t="s">
        <v>300</v>
      </c>
    </row>
    <row r="127" spans="1:8" ht="15" customHeight="1" x14ac:dyDescent="0.2">
      <c r="E127" s="409">
        <f>INDEX(LINEST(D$134:D$138,($C$134:$C$138)^{1,2,3}),2)</f>
        <v>-4.5808673469387191</v>
      </c>
      <c r="F127" s="408">
        <f>INDEX(LINEST(D$139:D$143,($C$139:$C$143)^{1,2,3}),2)</f>
        <v>-1.9714285714286364E-2</v>
      </c>
      <c r="H127" t="s">
        <v>301</v>
      </c>
    </row>
    <row r="128" spans="1:8" ht="15" customHeight="1" x14ac:dyDescent="0.2">
      <c r="E128" s="409">
        <f>INDEX(LINEST(D$134:D$138,($C$134:$C$138)^{1,2,3}),3)</f>
        <v>39.321870748299162</v>
      </c>
      <c r="F128" s="408">
        <f>INDEX(LINEST(D$139:D$143,($C$139:$C$143)^{1,2,3}),3)</f>
        <v>12.72285714285716</v>
      </c>
    </row>
    <row r="129" spans="1:11" ht="15" customHeight="1" x14ac:dyDescent="0.2">
      <c r="E129" s="409">
        <f>INDEX(LINEST(D$134:D$138,($C$134:$C$138)^{1,2,3}),4)</f>
        <v>-5.1354285714284629</v>
      </c>
      <c r="F129" s="408">
        <f>INDEX(LINEST(D$139:D$143,($C$139:$C$143)^{1,2,3}),4)</f>
        <v>56.859999999999935</v>
      </c>
    </row>
    <row r="130" spans="1:11" ht="15" customHeight="1" x14ac:dyDescent="0.2">
      <c r="E130" s="1"/>
      <c r="F130" s="1"/>
    </row>
    <row r="131" spans="1:11" ht="15" customHeight="1" x14ac:dyDescent="0.2">
      <c r="C131" s="116"/>
      <c r="D131" s="117" t="s">
        <v>69</v>
      </c>
      <c r="E131" s="117"/>
      <c r="F131" s="1"/>
      <c r="H131" s="133"/>
      <c r="I131" s="391" t="s">
        <v>56</v>
      </c>
      <c r="J131" s="133"/>
      <c r="K131" s="133"/>
    </row>
    <row r="132" spans="1:11" ht="15" customHeight="1" x14ac:dyDescent="0.2">
      <c r="A132" s="283" t="s">
        <v>311</v>
      </c>
      <c r="C132" s="116"/>
      <c r="D132" s="117" t="s">
        <v>42</v>
      </c>
      <c r="E132" s="117"/>
      <c r="F132" s="1"/>
      <c r="H132" s="133"/>
      <c r="I132" s="392" t="s">
        <v>33</v>
      </c>
      <c r="J132" s="133" t="s">
        <v>34</v>
      </c>
      <c r="K132" s="413" t="s">
        <v>298</v>
      </c>
    </row>
    <row r="133" spans="1:11" ht="15" customHeight="1" x14ac:dyDescent="0.2">
      <c r="C133" s="116" t="s">
        <v>21</v>
      </c>
      <c r="D133" s="117" t="s">
        <v>43</v>
      </c>
      <c r="E133" s="117"/>
      <c r="F133" s="1"/>
      <c r="H133" s="133" t="s">
        <v>21</v>
      </c>
      <c r="I133" s="392" t="s">
        <v>72</v>
      </c>
      <c r="J133" s="133" t="s">
        <v>264</v>
      </c>
      <c r="K133" s="414" t="s">
        <v>299</v>
      </c>
    </row>
    <row r="134" spans="1:11" ht="15" customHeight="1" x14ac:dyDescent="0.2">
      <c r="C134" s="106">
        <v>1</v>
      </c>
      <c r="D134" s="109">
        <f>D108</f>
        <v>29.9</v>
      </c>
      <c r="E134" s="114">
        <f>(E$126*($C134)^3)+(E$127*($C134)^2)+(E$128*($C134)^1)+(E$129)</f>
        <v>29.897122448979594</v>
      </c>
      <c r="F134" s="2"/>
      <c r="H134" s="106">
        <v>1</v>
      </c>
      <c r="I134" s="393">
        <f>E134</f>
        <v>29.897122448979594</v>
      </c>
      <c r="J134" s="109">
        <f>B108</f>
        <v>29.9</v>
      </c>
      <c r="K134" s="410">
        <f>I134-J134</f>
        <v>-2.8775510204042121E-3</v>
      </c>
    </row>
    <row r="135" spans="1:11" ht="15" customHeight="1" x14ac:dyDescent="0.2">
      <c r="C135" s="106">
        <v>2</v>
      </c>
      <c r="D135" s="110">
        <f t="shared" ref="D135:D143" si="4">D109</f>
        <v>57.505714285714284</v>
      </c>
      <c r="E135" s="114">
        <f>(E$126*($C135)^3)+(E$127*($C135)^2)+(E$128*($C135)^1)+(E$129)</f>
        <v>57.517224489795893</v>
      </c>
      <c r="F135" s="2"/>
      <c r="H135" s="106">
        <v>2</v>
      </c>
      <c r="I135" s="393">
        <f t="shared" ref="I135:I138" si="5">E135</f>
        <v>57.517224489795893</v>
      </c>
      <c r="J135" s="110">
        <f t="shared" ref="J135:J143" si="6">B109</f>
        <v>57.505714285714284</v>
      </c>
      <c r="K135" s="411">
        <f t="shared" ref="K135:K143" si="7">I135-J135</f>
        <v>1.1510204081609743E-2</v>
      </c>
    </row>
    <row r="136" spans="1:11" ht="15" customHeight="1" x14ac:dyDescent="0.2">
      <c r="B136" s="28" t="s">
        <v>308</v>
      </c>
      <c r="C136" s="106">
        <v>3</v>
      </c>
      <c r="D136" s="105">
        <f t="shared" si="4"/>
        <v>79.491428571428571</v>
      </c>
      <c r="E136" s="114">
        <f t="shared" ref="E136:E138" si="8">(E$126*($C136)^3)+(E$127*($C136)^2)+(E$128*($C136)^1)+(E$129)</f>
        <v>79.474163265306117</v>
      </c>
      <c r="F136" s="2"/>
      <c r="H136" s="106">
        <v>3</v>
      </c>
      <c r="I136" s="393">
        <f t="shared" si="5"/>
        <v>79.474163265306117</v>
      </c>
      <c r="J136" s="105">
        <f t="shared" si="6"/>
        <v>79.491428571428571</v>
      </c>
      <c r="K136" s="412">
        <f t="shared" si="7"/>
        <v>-1.7265306122453694E-2</v>
      </c>
    </row>
    <row r="137" spans="1:11" ht="15" customHeight="1" x14ac:dyDescent="0.2">
      <c r="C137" s="106">
        <v>4</v>
      </c>
      <c r="D137" s="105">
        <f t="shared" si="4"/>
        <v>97.505714285714305</v>
      </c>
      <c r="E137" s="114">
        <f t="shared" si="8"/>
        <v>97.51722448979595</v>
      </c>
      <c r="F137" s="2"/>
      <c r="H137" s="106">
        <v>4</v>
      </c>
      <c r="I137" s="393">
        <f t="shared" si="5"/>
        <v>97.51722448979595</v>
      </c>
      <c r="J137" s="105">
        <f t="shared" si="6"/>
        <v>97.505714285714305</v>
      </c>
      <c r="K137" s="412">
        <f t="shared" si="7"/>
        <v>1.151020408164527E-2</v>
      </c>
    </row>
    <row r="138" spans="1:11" ht="15" customHeight="1" x14ac:dyDescent="0.2">
      <c r="C138" s="106">
        <v>5</v>
      </c>
      <c r="D138" s="110">
        <f t="shared" si="4"/>
        <v>113.39857142857147</v>
      </c>
      <c r="E138" s="114">
        <f t="shared" si="8"/>
        <v>113.39569387755107</v>
      </c>
      <c r="F138" s="2"/>
      <c r="H138" s="106">
        <v>5</v>
      </c>
      <c r="I138" s="393">
        <f t="shared" si="5"/>
        <v>113.39569387755107</v>
      </c>
      <c r="J138" s="110">
        <f t="shared" si="6"/>
        <v>113.39857142857147</v>
      </c>
      <c r="K138" s="411">
        <f t="shared" si="7"/>
        <v>-2.8775510204042121E-3</v>
      </c>
    </row>
    <row r="139" spans="1:11" ht="15" customHeight="1" x14ac:dyDescent="0.2">
      <c r="C139" s="106">
        <v>10</v>
      </c>
      <c r="D139" s="105">
        <f t="shared" si="4"/>
        <v>181.91714285714289</v>
      </c>
      <c r="E139" s="416"/>
      <c r="F139" s="115">
        <f>(F$126*($C139)^3)+(F$127*($C139)^2)+(F$128*($C139)^1)+(F$129)</f>
        <v>181.91714285714289</v>
      </c>
      <c r="H139" s="106">
        <v>10</v>
      </c>
      <c r="I139" s="393">
        <f>F139</f>
        <v>181.91714285714289</v>
      </c>
      <c r="J139" s="105">
        <f t="shared" si="6"/>
        <v>181.91714285714289</v>
      </c>
      <c r="K139" s="412">
        <f t="shared" si="7"/>
        <v>0</v>
      </c>
    </row>
    <row r="140" spans="1:11" ht="15" customHeight="1" x14ac:dyDescent="0.2">
      <c r="C140" s="106">
        <v>20</v>
      </c>
      <c r="D140" s="105">
        <f t="shared" si="4"/>
        <v>301.8314285714286</v>
      </c>
      <c r="E140" s="2"/>
      <c r="F140" s="115">
        <f t="shared" ref="F140:F143" si="9">(F$126*($C140)^3)+(F$127*($C140)^2)+(F$128*($C140)^1)+(F$129)</f>
        <v>301.83142857142866</v>
      </c>
      <c r="H140" s="106">
        <v>20</v>
      </c>
      <c r="I140" s="393">
        <f t="shared" ref="I140:I143" si="10">F140</f>
        <v>301.83142857142866</v>
      </c>
      <c r="J140" s="105">
        <f t="shared" si="6"/>
        <v>301.8314285714286</v>
      </c>
      <c r="K140" s="412">
        <f t="shared" si="7"/>
        <v>0</v>
      </c>
    </row>
    <row r="141" spans="1:11" ht="15" customHeight="1" x14ac:dyDescent="0.2">
      <c r="B141" s="28" t="s">
        <v>297</v>
      </c>
      <c r="C141" s="106">
        <v>30</v>
      </c>
      <c r="D141" s="105">
        <f t="shared" si="4"/>
        <v>415.40285714285716</v>
      </c>
      <c r="E141" s="2"/>
      <c r="F141" s="115">
        <f t="shared" si="9"/>
        <v>415.40285714285721</v>
      </c>
      <c r="H141" s="106">
        <v>30</v>
      </c>
      <c r="I141" s="393">
        <f t="shared" si="10"/>
        <v>415.40285714285721</v>
      </c>
      <c r="J141" s="105">
        <f t="shared" si="6"/>
        <v>415.40285714285716</v>
      </c>
      <c r="K141" s="412">
        <f t="shared" si="7"/>
        <v>0</v>
      </c>
    </row>
    <row r="142" spans="1:11" ht="15" customHeight="1" x14ac:dyDescent="0.2">
      <c r="C142" s="106">
        <v>40</v>
      </c>
      <c r="D142" s="105">
        <f t="shared" si="4"/>
        <v>521.43142857142857</v>
      </c>
      <c r="E142" s="2"/>
      <c r="F142" s="115">
        <f t="shared" si="9"/>
        <v>521.43142857142846</v>
      </c>
      <c r="H142" s="106">
        <v>40</v>
      </c>
      <c r="I142" s="393">
        <f t="shared" si="10"/>
        <v>521.43142857142846</v>
      </c>
      <c r="J142" s="105">
        <f t="shared" si="6"/>
        <v>521.43142857142857</v>
      </c>
      <c r="K142" s="412">
        <f t="shared" si="7"/>
        <v>0</v>
      </c>
    </row>
    <row r="143" spans="1:11" ht="15" customHeight="1" x14ac:dyDescent="0.2">
      <c r="C143" s="106">
        <v>50</v>
      </c>
      <c r="D143" s="110">
        <f t="shared" si="4"/>
        <v>618.71714285714279</v>
      </c>
      <c r="E143" s="2"/>
      <c r="F143" s="115">
        <f t="shared" si="9"/>
        <v>618.71714285714268</v>
      </c>
      <c r="H143" s="106">
        <v>50</v>
      </c>
      <c r="I143" s="394">
        <f t="shared" si="10"/>
        <v>618.71714285714268</v>
      </c>
      <c r="J143" s="110">
        <f t="shared" si="6"/>
        <v>618.71714285714279</v>
      </c>
      <c r="K143" s="411">
        <f t="shared" si="7"/>
        <v>0</v>
      </c>
    </row>
    <row r="144" spans="1:11" ht="15" customHeight="1" x14ac:dyDescent="0.2">
      <c r="I144" s="38"/>
    </row>
    <row r="145" spans="1:21" ht="15" customHeight="1" x14ac:dyDescent="0.2">
      <c r="D145" s="602">
        <f>D135/D134</f>
        <v>1.9232680363115147</v>
      </c>
      <c r="E145" s="603">
        <f>D138/D135</f>
        <v>1.971953097828788</v>
      </c>
    </row>
    <row r="146" spans="1:21" ht="15" customHeight="1" x14ac:dyDescent="0.2"/>
    <row r="147" spans="1:21" ht="15" customHeight="1" x14ac:dyDescent="0.2">
      <c r="I147" s="38"/>
    </row>
    <row r="148" spans="1:21" ht="15" customHeight="1" x14ac:dyDescent="0.2">
      <c r="A148" s="64" t="s">
        <v>75</v>
      </c>
      <c r="B148" s="64" t="s">
        <v>73</v>
      </c>
    </row>
    <row r="149" spans="1:21" ht="15" customHeight="1" x14ac:dyDescent="0.2">
      <c r="A149" s="64"/>
      <c r="B149" s="64"/>
    </row>
    <row r="150" spans="1:21" ht="15" customHeight="1" x14ac:dyDescent="0.2">
      <c r="A150" s="64"/>
      <c r="B150" s="64" t="s">
        <v>76</v>
      </c>
    </row>
    <row r="151" spans="1:21" ht="15" customHeight="1" x14ac:dyDescent="0.2">
      <c r="A151" s="64"/>
      <c r="B151" s="64"/>
      <c r="L151" s="64" t="s">
        <v>580</v>
      </c>
    </row>
    <row r="152" spans="1:21" ht="15" customHeight="1" x14ac:dyDescent="0.2">
      <c r="I152" s="38"/>
      <c r="J152" s="764" t="s">
        <v>490</v>
      </c>
      <c r="K152" s="251"/>
      <c r="L152" s="765" t="s">
        <v>489</v>
      </c>
      <c r="U152" s="844" t="s">
        <v>579</v>
      </c>
    </row>
    <row r="153" spans="1:21" ht="15" customHeight="1" x14ac:dyDescent="0.2">
      <c r="G153" s="368"/>
      <c r="H153" s="369" t="s">
        <v>35</v>
      </c>
      <c r="I153" s="38"/>
      <c r="J153" s="727"/>
      <c r="M153" t="s">
        <v>94</v>
      </c>
      <c r="U153" s="843" t="s">
        <v>578</v>
      </c>
    </row>
    <row r="154" spans="1:21" ht="15" customHeight="1" x14ac:dyDescent="0.2">
      <c r="B154" s="133"/>
      <c r="C154" s="313"/>
      <c r="D154" s="391" t="s">
        <v>56</v>
      </c>
      <c r="E154" s="391" t="s">
        <v>56</v>
      </c>
      <c r="F154" s="133"/>
      <c r="G154" s="370" t="s">
        <v>34</v>
      </c>
      <c r="H154" s="371" t="s">
        <v>285</v>
      </c>
      <c r="J154" s="404" t="s">
        <v>28</v>
      </c>
      <c r="K154" s="147"/>
      <c r="M154" s="404"/>
      <c r="N154" s="139" t="s">
        <v>79</v>
      </c>
      <c r="U154" s="844" t="s">
        <v>581</v>
      </c>
    </row>
    <row r="155" spans="1:21" ht="15" customHeight="1" x14ac:dyDescent="0.2">
      <c r="B155" s="133"/>
      <c r="C155" s="117" t="s">
        <v>32</v>
      </c>
      <c r="D155" s="392" t="s">
        <v>33</v>
      </c>
      <c r="E155" s="392" t="s">
        <v>35</v>
      </c>
      <c r="F155" s="133" t="s">
        <v>28</v>
      </c>
      <c r="G155" s="370" t="s">
        <v>35</v>
      </c>
      <c r="H155" s="371" t="s">
        <v>286</v>
      </c>
      <c r="J155" s="483" t="str">
        <f>E57</f>
        <v xml:space="preserve"> 5-8-13</v>
      </c>
      <c r="K155" s="148" t="s">
        <v>77</v>
      </c>
      <c r="M155" s="102" t="s">
        <v>52</v>
      </c>
      <c r="N155" s="514" t="s">
        <v>382</v>
      </c>
      <c r="U155" s="521" t="s">
        <v>577</v>
      </c>
    </row>
    <row r="156" spans="1:21" ht="15" customHeight="1" x14ac:dyDescent="0.2">
      <c r="B156" s="133" t="s">
        <v>21</v>
      </c>
      <c r="C156" s="407" t="s">
        <v>53</v>
      </c>
      <c r="D156" s="252" t="s">
        <v>53</v>
      </c>
      <c r="E156" s="252" t="s">
        <v>160</v>
      </c>
      <c r="F156" s="367" t="s">
        <v>158</v>
      </c>
      <c r="G156" s="372" t="s">
        <v>53</v>
      </c>
      <c r="H156" s="373" t="s">
        <v>158</v>
      </c>
      <c r="J156" s="728" t="s">
        <v>74</v>
      </c>
      <c r="K156" s="406" t="s">
        <v>291</v>
      </c>
      <c r="M156" s="102" t="s">
        <v>36</v>
      </c>
      <c r="N156" s="140"/>
      <c r="O156" s="265" t="s">
        <v>128</v>
      </c>
      <c r="P156" s="38" t="s">
        <v>136</v>
      </c>
      <c r="Q156" s="214" t="s">
        <v>137</v>
      </c>
      <c r="U156" s="367" t="s">
        <v>158</v>
      </c>
    </row>
    <row r="157" spans="1:21" ht="15" customHeight="1" x14ac:dyDescent="0.2">
      <c r="B157" s="106">
        <v>1</v>
      </c>
      <c r="C157" s="119">
        <f>D157+E157</f>
        <v>31.415122448979595</v>
      </c>
      <c r="D157" s="119">
        <f t="shared" ref="D157:D166" si="11">I134</f>
        <v>29.897122448979594</v>
      </c>
      <c r="E157" s="118">
        <v>1.518</v>
      </c>
      <c r="F157" s="729">
        <f>E157/C157</f>
        <v>4.8320677484715857E-2</v>
      </c>
      <c r="G157" s="374">
        <f t="shared" ref="G157:G166" si="12">G30</f>
        <v>1.7</v>
      </c>
      <c r="H157" s="375">
        <f>E157-G157</f>
        <v>-0.18199999999999994</v>
      </c>
      <c r="J157" s="402">
        <f>E59</f>
        <v>4.8333333333333332E-2</v>
      </c>
      <c r="K157" s="150">
        <f t="shared" ref="K157:K166" si="13">J157-F157</f>
        <v>1.2655848617475207E-5</v>
      </c>
      <c r="M157" s="402">
        <f t="shared" ref="M157:M166" si="14">C157/D157</f>
        <v>1.0507741172278542</v>
      </c>
      <c r="N157" s="143">
        <f t="shared" ref="N157:N166" si="15">D157*M157</f>
        <v>31.415122448979595</v>
      </c>
      <c r="O157" s="287">
        <f t="shared" ref="O157:O166" si="16">N157-C157</f>
        <v>0</v>
      </c>
      <c r="P157" s="288">
        <f t="shared" ref="P157:P166" si="17">J157/F157</f>
        <v>1.0002619137246467</v>
      </c>
      <c r="Q157" s="289">
        <f t="shared" ref="Q157:Q166" si="18">P157*E157</f>
        <v>1.5183975850340137</v>
      </c>
      <c r="R157" s="267" t="s">
        <v>200</v>
      </c>
      <c r="U157" s="152">
        <f>E157/D157</f>
        <v>5.0774117227854153E-2</v>
      </c>
    </row>
    <row r="158" spans="1:21" ht="15" customHeight="1" x14ac:dyDescent="0.2">
      <c r="B158" s="106">
        <v>2</v>
      </c>
      <c r="C158" s="120">
        <f t="shared" ref="C158:C166" si="19">D158+E158</f>
        <v>60.969224489795891</v>
      </c>
      <c r="D158" s="120">
        <f t="shared" si="11"/>
        <v>57.517224489795893</v>
      </c>
      <c r="E158" s="118">
        <v>3.452</v>
      </c>
      <c r="F158" s="730">
        <f t="shared" ref="F158:F166" si="20">E158/C158</f>
        <v>5.6618729020864345E-2</v>
      </c>
      <c r="G158" s="376">
        <f t="shared" si="12"/>
        <v>4</v>
      </c>
      <c r="H158" s="377">
        <f t="shared" ref="H158:H166" si="21">E158-G158</f>
        <v>-0.54800000000000004</v>
      </c>
      <c r="J158" s="402">
        <f t="shared" ref="J158:J166" si="22">E60</f>
        <v>5.6666666666666671E-2</v>
      </c>
      <c r="K158" s="150">
        <f t="shared" si="13"/>
        <v>4.7937645802326179E-5</v>
      </c>
      <c r="M158" s="402">
        <f t="shared" si="14"/>
        <v>1.0600168041942359</v>
      </c>
      <c r="N158" s="144">
        <f t="shared" si="15"/>
        <v>60.969224489795884</v>
      </c>
      <c r="O158" s="287">
        <f t="shared" si="16"/>
        <v>0</v>
      </c>
      <c r="P158" s="288">
        <f t="shared" si="17"/>
        <v>1.0008466747069624</v>
      </c>
      <c r="Q158" s="290">
        <f t="shared" si="18"/>
        <v>3.4549227210884341</v>
      </c>
      <c r="R158" s="267" t="s">
        <v>312</v>
      </c>
      <c r="U158" s="152">
        <f t="shared" ref="U158:U166" si="23">E158/D158</f>
        <v>6.0016804194236072E-2</v>
      </c>
    </row>
    <row r="159" spans="1:21" ht="15" customHeight="1" x14ac:dyDescent="0.2">
      <c r="B159" s="106">
        <v>3</v>
      </c>
      <c r="C159" s="121">
        <f t="shared" si="19"/>
        <v>85.02616326530611</v>
      </c>
      <c r="D159" s="121">
        <f t="shared" si="11"/>
        <v>79.474163265306117</v>
      </c>
      <c r="E159" s="118">
        <v>5.5519999999999996</v>
      </c>
      <c r="F159" s="731">
        <f t="shared" si="20"/>
        <v>6.5297548269656266E-2</v>
      </c>
      <c r="G159" s="378">
        <f t="shared" si="12"/>
        <v>6.8</v>
      </c>
      <c r="H159" s="379">
        <f t="shared" si="21"/>
        <v>-1.2480000000000002</v>
      </c>
      <c r="J159" s="402">
        <f t="shared" si="22"/>
        <v>6.5333333333333327E-2</v>
      </c>
      <c r="K159" s="150">
        <f t="shared" si="13"/>
        <v>3.5785063677060136E-5</v>
      </c>
      <c r="M159" s="402">
        <f t="shared" si="14"/>
        <v>1.0698591815489258</v>
      </c>
      <c r="N159" s="145">
        <f t="shared" si="15"/>
        <v>85.02616326530611</v>
      </c>
      <c r="O159" s="287">
        <f t="shared" si="16"/>
        <v>0</v>
      </c>
      <c r="P159" s="288">
        <f t="shared" si="17"/>
        <v>1.000548030739673</v>
      </c>
      <c r="Q159" s="288">
        <f t="shared" si="18"/>
        <v>5.5550426666666644</v>
      </c>
      <c r="R159" s="267" t="s">
        <v>143</v>
      </c>
      <c r="U159" s="152">
        <f t="shared" si="23"/>
        <v>6.9859181548925925E-2</v>
      </c>
    </row>
    <row r="160" spans="1:21" ht="15" customHeight="1" x14ac:dyDescent="0.2">
      <c r="B160" s="106">
        <v>4</v>
      </c>
      <c r="C160" s="121">
        <f t="shared" si="19"/>
        <v>105.38922448979595</v>
      </c>
      <c r="D160" s="121">
        <f t="shared" si="11"/>
        <v>97.51722448979595</v>
      </c>
      <c r="E160" s="118">
        <v>7.8719999999999999</v>
      </c>
      <c r="F160" s="731">
        <f t="shared" si="20"/>
        <v>7.4694543375847564E-2</v>
      </c>
      <c r="G160" s="378">
        <f t="shared" si="12"/>
        <v>9.4</v>
      </c>
      <c r="H160" s="379">
        <f t="shared" si="21"/>
        <v>-1.5280000000000005</v>
      </c>
      <c r="J160" s="402">
        <f t="shared" si="22"/>
        <v>7.4666666666666673E-2</v>
      </c>
      <c r="K160" s="150">
        <f t="shared" si="13"/>
        <v>-2.7876709180890691E-5</v>
      </c>
      <c r="M160" s="402">
        <f t="shared" si="14"/>
        <v>1.0807242006854256</v>
      </c>
      <c r="N160" s="145">
        <f t="shared" si="15"/>
        <v>105.38922448979594</v>
      </c>
      <c r="O160" s="287">
        <f t="shared" si="16"/>
        <v>0</v>
      </c>
      <c r="P160" s="288">
        <f t="shared" si="17"/>
        <v>0.99962679055362025</v>
      </c>
      <c r="Q160" s="288">
        <f t="shared" si="18"/>
        <v>7.8690620952380987</v>
      </c>
      <c r="R160" s="88" t="s">
        <v>142</v>
      </c>
      <c r="U160" s="152">
        <f t="shared" si="23"/>
        <v>8.0724200685425712E-2</v>
      </c>
    </row>
    <row r="161" spans="1:21" ht="15" customHeight="1" x14ac:dyDescent="0.2">
      <c r="B161" s="106">
        <v>5</v>
      </c>
      <c r="C161" s="120">
        <f t="shared" si="19"/>
        <v>123.61469387755106</v>
      </c>
      <c r="D161" s="120">
        <f t="shared" si="11"/>
        <v>113.39569387755107</v>
      </c>
      <c r="E161" s="118">
        <v>10.218999999999999</v>
      </c>
      <c r="F161" s="730">
        <f t="shared" si="20"/>
        <v>8.266816572892724E-2</v>
      </c>
      <c r="G161" s="376">
        <f t="shared" si="12"/>
        <v>12.1</v>
      </c>
      <c r="H161" s="377">
        <f t="shared" si="21"/>
        <v>-1.8810000000000002</v>
      </c>
      <c r="J161" s="402">
        <f t="shared" si="22"/>
        <v>8.2666666666666666E-2</v>
      </c>
      <c r="K161" s="150">
        <f t="shared" si="13"/>
        <v>-1.4990622605737247E-6</v>
      </c>
      <c r="M161" s="402">
        <f t="shared" si="14"/>
        <v>1.0901180604885654</v>
      </c>
      <c r="N161" s="144">
        <f t="shared" si="15"/>
        <v>123.61469387755106</v>
      </c>
      <c r="O161" s="287">
        <f t="shared" si="16"/>
        <v>0</v>
      </c>
      <c r="P161" s="288">
        <f t="shared" si="17"/>
        <v>0.99998186651116117</v>
      </c>
      <c r="Q161" s="290">
        <f t="shared" si="18"/>
        <v>10.218814693877555</v>
      </c>
      <c r="U161" s="152">
        <f t="shared" si="23"/>
        <v>9.0118060488565466E-2</v>
      </c>
    </row>
    <row r="162" spans="1:21" ht="15" customHeight="1" x14ac:dyDescent="0.2">
      <c r="B162" s="106">
        <v>10</v>
      </c>
      <c r="C162" s="121">
        <f t="shared" si="19"/>
        <v>204.40314285714288</v>
      </c>
      <c r="D162" s="121">
        <f t="shared" si="11"/>
        <v>181.91714285714289</v>
      </c>
      <c r="E162" s="118">
        <v>22.486000000000001</v>
      </c>
      <c r="F162" s="154">
        <f t="shared" si="20"/>
        <v>0.11000809324989411</v>
      </c>
      <c r="G162" s="378">
        <f t="shared" si="12"/>
        <v>25.1</v>
      </c>
      <c r="H162" s="379">
        <f t="shared" si="21"/>
        <v>-2.6140000000000008</v>
      </c>
      <c r="J162" s="402">
        <f t="shared" si="22"/>
        <v>0.11</v>
      </c>
      <c r="K162" s="150">
        <f t="shared" si="13"/>
        <v>-8.0932498941060915E-6</v>
      </c>
      <c r="M162" s="402">
        <f t="shared" si="14"/>
        <v>1.1236057231706742</v>
      </c>
      <c r="N162" s="145">
        <f t="shared" si="15"/>
        <v>204.40314285714288</v>
      </c>
      <c r="O162" s="287">
        <f t="shared" si="16"/>
        <v>0</v>
      </c>
      <c r="P162" s="288">
        <f t="shared" si="17"/>
        <v>0.99992643041384488</v>
      </c>
      <c r="Q162" s="288">
        <f t="shared" si="18"/>
        <v>22.484345714285716</v>
      </c>
      <c r="U162" s="152">
        <f t="shared" si="23"/>
        <v>0.12360572317067423</v>
      </c>
    </row>
    <row r="163" spans="1:21" ht="15" customHeight="1" x14ac:dyDescent="0.2">
      <c r="B163" s="106">
        <v>20</v>
      </c>
      <c r="C163" s="121">
        <f t="shared" si="19"/>
        <v>346.92442857142868</v>
      </c>
      <c r="D163" s="121">
        <f t="shared" si="11"/>
        <v>301.83142857142866</v>
      </c>
      <c r="E163" s="118">
        <v>45.093000000000004</v>
      </c>
      <c r="F163" s="154">
        <f t="shared" si="20"/>
        <v>0.12997931620348768</v>
      </c>
      <c r="G163" s="378">
        <f t="shared" si="12"/>
        <v>47.2</v>
      </c>
      <c r="H163" s="379">
        <f t="shared" si="21"/>
        <v>-2.1069999999999993</v>
      </c>
      <c r="J163" s="402">
        <f t="shared" si="22"/>
        <v>0.13</v>
      </c>
      <c r="K163" s="150">
        <f t="shared" si="13"/>
        <v>2.0683796512321884E-5</v>
      </c>
      <c r="M163" s="402">
        <f t="shared" si="14"/>
        <v>1.1493979610189227</v>
      </c>
      <c r="N163" s="145">
        <f t="shared" si="15"/>
        <v>346.92442857142868</v>
      </c>
      <c r="O163" s="287">
        <f t="shared" si="16"/>
        <v>0</v>
      </c>
      <c r="P163" s="288">
        <f t="shared" si="17"/>
        <v>1.0001591314458058</v>
      </c>
      <c r="Q163" s="288">
        <f t="shared" si="18"/>
        <v>45.100175714285726</v>
      </c>
      <c r="U163" s="152">
        <f t="shared" si="23"/>
        <v>0.14939796101892255</v>
      </c>
    </row>
    <row r="164" spans="1:21" ht="15" customHeight="1" x14ac:dyDescent="0.2">
      <c r="B164" s="106">
        <v>30</v>
      </c>
      <c r="C164" s="121">
        <f>D164+E164</f>
        <v>477.46085714285721</v>
      </c>
      <c r="D164" s="121">
        <f t="shared" si="11"/>
        <v>415.40285714285721</v>
      </c>
      <c r="E164" s="118">
        <v>62.058</v>
      </c>
      <c r="F164" s="154">
        <f t="shared" si="20"/>
        <v>0.1299750525547943</v>
      </c>
      <c r="G164" s="378">
        <f t="shared" si="12"/>
        <v>65.2</v>
      </c>
      <c r="H164" s="379">
        <f t="shared" si="21"/>
        <v>-3.142000000000003</v>
      </c>
      <c r="J164" s="402">
        <f t="shared" si="22"/>
        <v>0.13</v>
      </c>
      <c r="K164" s="150">
        <f t="shared" si="13"/>
        <v>2.4947445205703023E-5</v>
      </c>
      <c r="M164" s="402">
        <f t="shared" si="14"/>
        <v>1.1493923282734144</v>
      </c>
      <c r="N164" s="145">
        <f t="shared" si="15"/>
        <v>477.46085714285721</v>
      </c>
      <c r="O164" s="287">
        <f t="shared" si="16"/>
        <v>0</v>
      </c>
      <c r="P164" s="288">
        <f t="shared" si="17"/>
        <v>1.0001919402586523</v>
      </c>
      <c r="Q164" s="288">
        <f t="shared" si="18"/>
        <v>62.069911428571444</v>
      </c>
      <c r="U164" s="152">
        <f t="shared" si="23"/>
        <v>0.14939232827341442</v>
      </c>
    </row>
    <row r="165" spans="1:21" ht="15" customHeight="1" x14ac:dyDescent="0.2">
      <c r="B165" s="106">
        <v>40</v>
      </c>
      <c r="C165" s="121">
        <f t="shared" si="19"/>
        <v>599.32642857142844</v>
      </c>
      <c r="D165" s="121">
        <f t="shared" si="11"/>
        <v>521.43142857142846</v>
      </c>
      <c r="E165" s="118">
        <v>77.894999999999996</v>
      </c>
      <c r="F165" s="154">
        <f t="shared" si="20"/>
        <v>0.12997090781675144</v>
      </c>
      <c r="G165" s="378">
        <f t="shared" si="12"/>
        <v>81.099999999999994</v>
      </c>
      <c r="H165" s="379">
        <f t="shared" si="21"/>
        <v>-3.2049999999999983</v>
      </c>
      <c r="J165" s="402">
        <f t="shared" si="22"/>
        <v>0.13</v>
      </c>
      <c r="K165" s="150">
        <f t="shared" si="13"/>
        <v>2.9092183248563552E-5</v>
      </c>
      <c r="M165" s="402">
        <f t="shared" si="14"/>
        <v>1.1493868526747799</v>
      </c>
      <c r="N165" s="145">
        <f t="shared" si="15"/>
        <v>599.32642857142844</v>
      </c>
      <c r="O165" s="287">
        <f t="shared" si="16"/>
        <v>0</v>
      </c>
      <c r="P165" s="288">
        <f t="shared" si="17"/>
        <v>1.0002238361163838</v>
      </c>
      <c r="Q165" s="288">
        <f t="shared" si="18"/>
        <v>77.912435714285706</v>
      </c>
      <c r="U165" s="152">
        <f t="shared" si="23"/>
        <v>0.14938685267477989</v>
      </c>
    </row>
    <row r="166" spans="1:21" ht="15" customHeight="1" x14ac:dyDescent="0.2">
      <c r="B166" s="106">
        <v>50</v>
      </c>
      <c r="C166" s="120">
        <f t="shared" si="19"/>
        <v>711.14314285714272</v>
      </c>
      <c r="D166" s="120">
        <f t="shared" si="11"/>
        <v>618.71714285714268</v>
      </c>
      <c r="E166" s="118">
        <v>92.426000000000002</v>
      </c>
      <c r="F166" s="153">
        <f t="shared" si="20"/>
        <v>0.12996820812848209</v>
      </c>
      <c r="G166" s="380">
        <f t="shared" si="12"/>
        <v>95.5</v>
      </c>
      <c r="H166" s="381">
        <f t="shared" si="21"/>
        <v>-3.0739999999999981</v>
      </c>
      <c r="J166" s="403">
        <f t="shared" si="22"/>
        <v>0.13</v>
      </c>
      <c r="K166" s="151">
        <f t="shared" si="13"/>
        <v>3.1791871517916626E-5</v>
      </c>
      <c r="M166" s="403">
        <f t="shared" si="14"/>
        <v>1.149383286154301</v>
      </c>
      <c r="N166" s="146">
        <f t="shared" si="15"/>
        <v>711.14314285714272</v>
      </c>
      <c r="O166" s="287">
        <f t="shared" si="16"/>
        <v>0</v>
      </c>
      <c r="P166" s="288">
        <f t="shared" si="17"/>
        <v>1.0002446126785598</v>
      </c>
      <c r="Q166" s="290">
        <f t="shared" si="18"/>
        <v>92.448608571428565</v>
      </c>
      <c r="U166" s="152">
        <f t="shared" si="23"/>
        <v>0.14938328615430088</v>
      </c>
    </row>
    <row r="167" spans="1:21" ht="15" customHeight="1" x14ac:dyDescent="0.2">
      <c r="K167" s="38"/>
    </row>
    <row r="168" spans="1:21" ht="15" customHeight="1" x14ac:dyDescent="0.2">
      <c r="K168" s="38"/>
    </row>
    <row r="169" spans="1:21" ht="15" customHeight="1" x14ac:dyDescent="0.2">
      <c r="A169" s="90" t="s">
        <v>80</v>
      </c>
      <c r="B169" s="64" t="s">
        <v>81</v>
      </c>
      <c r="I169" s="38"/>
    </row>
    <row r="170" spans="1:21" ht="15" customHeight="1" x14ac:dyDescent="0.2">
      <c r="A170" s="90"/>
      <c r="B170" s="28" t="s">
        <v>190</v>
      </c>
      <c r="I170" s="38"/>
    </row>
    <row r="171" spans="1:21" ht="15" customHeight="1" x14ac:dyDescent="0.2">
      <c r="A171" s="90"/>
      <c r="B171" s="28" t="s">
        <v>189</v>
      </c>
      <c r="I171" s="38"/>
    </row>
    <row r="172" spans="1:21" ht="15" customHeight="1" x14ac:dyDescent="0.2">
      <c r="A172" s="90"/>
      <c r="B172" s="28" t="s">
        <v>188</v>
      </c>
      <c r="I172" s="38"/>
    </row>
    <row r="173" spans="1:21" ht="15" customHeight="1" x14ac:dyDescent="0.2">
      <c r="A173" s="90"/>
      <c r="B173" s="28" t="s">
        <v>187</v>
      </c>
      <c r="I173" s="38"/>
    </row>
    <row r="174" spans="1:21" ht="15" customHeight="1" x14ac:dyDescent="0.2">
      <c r="A174" s="90"/>
      <c r="B174" s="28" t="s">
        <v>191</v>
      </c>
      <c r="I174" s="38"/>
    </row>
    <row r="175" spans="1:21" ht="15" customHeight="1" x14ac:dyDescent="0.2">
      <c r="A175" s="90"/>
      <c r="B175" s="28" t="s">
        <v>192</v>
      </c>
      <c r="I175" s="38"/>
    </row>
    <row r="176" spans="1:21" ht="15" customHeight="1" x14ac:dyDescent="0.2">
      <c r="B176" s="28" t="s">
        <v>193</v>
      </c>
      <c r="I176" s="38"/>
    </row>
    <row r="177" spans="2:20" ht="15" customHeight="1" x14ac:dyDescent="0.2">
      <c r="B177" s="28" t="s">
        <v>164</v>
      </c>
      <c r="I177" s="38"/>
    </row>
    <row r="178" spans="2:20" ht="15" customHeight="1" x14ac:dyDescent="0.2">
      <c r="I178" s="38"/>
      <c r="P178" s="308" t="s">
        <v>154</v>
      </c>
    </row>
    <row r="179" spans="2:20" ht="15" customHeight="1" x14ac:dyDescent="0.2">
      <c r="I179" s="441" t="str">
        <f>IF($B$12="12sxf450-psh","calc gas force = 73c, linear = 77","calc gas force = 69c, linear = 73")</f>
        <v>calc gas force = 69c, linear = 73</v>
      </c>
      <c r="M179" s="307" t="s">
        <v>152</v>
      </c>
    </row>
    <row r="180" spans="2:20" ht="15" customHeight="1" x14ac:dyDescent="0.2">
      <c r="D180" s="214" t="s">
        <v>163</v>
      </c>
      <c r="I180" s="38"/>
      <c r="P180" s="804" t="s">
        <v>540</v>
      </c>
    </row>
    <row r="181" spans="2:20" ht="15" customHeight="1" x14ac:dyDescent="0.2">
      <c r="C181" s="27" t="s">
        <v>457</v>
      </c>
      <c r="F181" s="38"/>
      <c r="G181" s="38"/>
      <c r="H181" s="38"/>
      <c r="I181" s="38"/>
      <c r="J181" s="359" t="s">
        <v>269</v>
      </c>
      <c r="K181" s="214"/>
      <c r="L181" s="214"/>
      <c r="M181" s="117" t="s">
        <v>194</v>
      </c>
      <c r="O181" s="38"/>
      <c r="P181" s="503" t="s">
        <v>374</v>
      </c>
      <c r="Q181" s="38"/>
    </row>
    <row r="182" spans="2:20" ht="15" customHeight="1" x14ac:dyDescent="0.2">
      <c r="B182" s="116"/>
      <c r="C182" s="91" t="s">
        <v>56</v>
      </c>
      <c r="D182" s="91" t="s">
        <v>56</v>
      </c>
      <c r="E182" s="205" t="s">
        <v>56</v>
      </c>
      <c r="F182" s="199" t="s">
        <v>56</v>
      </c>
      <c r="G182" s="199" t="s">
        <v>56</v>
      </c>
      <c r="H182" s="253" t="str">
        <f>J155</f>
        <v xml:space="preserve"> 5-8-13</v>
      </c>
      <c r="I182" s="117" t="s">
        <v>34</v>
      </c>
      <c r="J182" s="309" t="s">
        <v>103</v>
      </c>
      <c r="K182" s="309" t="s">
        <v>104</v>
      </c>
      <c r="L182" s="91" t="s">
        <v>22</v>
      </c>
      <c r="M182" s="117" t="s">
        <v>22</v>
      </c>
      <c r="O182" s="91" t="s">
        <v>34</v>
      </c>
      <c r="P182" s="91" t="s">
        <v>34</v>
      </c>
      <c r="Q182" s="205" t="s">
        <v>34</v>
      </c>
      <c r="R182" s="426" t="s">
        <v>290</v>
      </c>
      <c r="S182" s="427" t="s">
        <v>289</v>
      </c>
    </row>
    <row r="183" spans="2:20" ht="15" customHeight="1" x14ac:dyDescent="0.2">
      <c r="B183" s="116"/>
      <c r="C183" s="95" t="s">
        <v>40</v>
      </c>
      <c r="D183" s="84" t="s">
        <v>41</v>
      </c>
      <c r="E183" s="117" t="s">
        <v>32</v>
      </c>
      <c r="F183" s="104" t="s">
        <v>33</v>
      </c>
      <c r="G183" s="104" t="s">
        <v>35</v>
      </c>
      <c r="H183" s="253" t="s">
        <v>28</v>
      </c>
      <c r="I183" s="309" t="s">
        <v>155</v>
      </c>
      <c r="J183" s="309" t="s">
        <v>155</v>
      </c>
      <c r="K183" s="309" t="s">
        <v>162</v>
      </c>
      <c r="L183" s="95" t="s">
        <v>156</v>
      </c>
      <c r="M183" s="117" t="s">
        <v>155</v>
      </c>
      <c r="O183" s="95" t="s">
        <v>155</v>
      </c>
      <c r="P183" s="95" t="s">
        <v>156</v>
      </c>
      <c r="Q183" s="401" t="s">
        <v>41</v>
      </c>
      <c r="R183" s="428" t="s">
        <v>287</v>
      </c>
      <c r="S183" s="429" t="s">
        <v>35</v>
      </c>
    </row>
    <row r="184" spans="2:20" ht="15" customHeight="1" x14ac:dyDescent="0.2">
      <c r="B184" s="116" t="s">
        <v>21</v>
      </c>
      <c r="C184" s="113" t="s">
        <v>158</v>
      </c>
      <c r="D184" s="113" t="s">
        <v>158</v>
      </c>
      <c r="E184" s="113" t="s">
        <v>158</v>
      </c>
      <c r="F184" s="252" t="s">
        <v>53</v>
      </c>
      <c r="G184" s="252" t="s">
        <v>53</v>
      </c>
      <c r="H184" s="312" t="s">
        <v>158</v>
      </c>
      <c r="I184" s="113" t="s">
        <v>157</v>
      </c>
      <c r="J184" s="113" t="s">
        <v>161</v>
      </c>
      <c r="K184" s="113" t="s">
        <v>158</v>
      </c>
      <c r="L184" s="418" t="s">
        <v>161</v>
      </c>
      <c r="M184" s="113" t="s">
        <v>161</v>
      </c>
      <c r="O184" s="113" t="s">
        <v>157</v>
      </c>
      <c r="P184" s="418" t="s">
        <v>157</v>
      </c>
      <c r="Q184" s="206" t="s">
        <v>157</v>
      </c>
      <c r="R184" s="430" t="s">
        <v>288</v>
      </c>
      <c r="S184" s="431" t="s">
        <v>316</v>
      </c>
    </row>
    <row r="185" spans="2:20" ht="15" customHeight="1" x14ac:dyDescent="0.2">
      <c r="B185" s="106">
        <v>1</v>
      </c>
      <c r="C185" s="119">
        <f>(D185-J185)</f>
        <v>49.415122448979588</v>
      </c>
      <c r="D185" s="698">
        <f>(F185+G185+M185+L185)+$E$179</f>
        <v>118.41512244897959</v>
      </c>
      <c r="E185" s="119">
        <f>F185+G185</f>
        <v>31.415122448979595</v>
      </c>
      <c r="F185" s="119">
        <f t="shared" ref="F185:G194" si="24">D157</f>
        <v>29.897122448979594</v>
      </c>
      <c r="G185" s="175">
        <f t="shared" si="24"/>
        <v>1.518</v>
      </c>
      <c r="H185" s="155">
        <f>G185/E185</f>
        <v>4.8320677484715857E-2</v>
      </c>
      <c r="I185" s="119">
        <f>O185</f>
        <v>73.8</v>
      </c>
      <c r="J185" s="694">
        <v>69</v>
      </c>
      <c r="K185" s="690">
        <v>4</v>
      </c>
      <c r="L185" s="507">
        <f>P185</f>
        <v>14</v>
      </c>
      <c r="M185" s="497">
        <v>73</v>
      </c>
      <c r="O185" s="417">
        <v>73.8</v>
      </c>
      <c r="P185" s="742">
        <v>14</v>
      </c>
      <c r="Q185" s="422">
        <v>119</v>
      </c>
      <c r="R185" s="432">
        <f>D185-Q185</f>
        <v>-0.58487755102041206</v>
      </c>
      <c r="S185" s="433">
        <f t="shared" ref="S185:S194" si="25">G185-G30</f>
        <v>-0.18199999999999994</v>
      </c>
      <c r="T185" s="420">
        <v>13.9</v>
      </c>
    </row>
    <row r="186" spans="2:20" ht="15" customHeight="1" x14ac:dyDescent="0.2">
      <c r="B186" s="106">
        <v>2</v>
      </c>
      <c r="C186" s="120">
        <f t="shared" ref="C186:C193" si="26">(D186-J186)</f>
        <v>78.969224489795891</v>
      </c>
      <c r="D186" s="699">
        <f t="shared" ref="D186:D193" si="27">(F186+G186+M186+L186)+$E$179</f>
        <v>147.96922448979589</v>
      </c>
      <c r="E186" s="120">
        <f t="shared" ref="E186:E191" si="28">F186+G186</f>
        <v>60.969224489795891</v>
      </c>
      <c r="F186" s="120">
        <f t="shared" si="24"/>
        <v>57.517224489795893</v>
      </c>
      <c r="G186" s="176">
        <f t="shared" si="24"/>
        <v>3.452</v>
      </c>
      <c r="H186" s="156">
        <f t="shared" ref="H186:H194" si="29">G186/E186</f>
        <v>5.6618729020864345E-2</v>
      </c>
      <c r="I186" s="120">
        <f t="shared" ref="I186:I194" si="30">O186</f>
        <v>73.599999999999994</v>
      </c>
      <c r="J186" s="695">
        <f>J185</f>
        <v>69</v>
      </c>
      <c r="K186" s="691">
        <v>4</v>
      </c>
      <c r="L186" s="506">
        <f>L185</f>
        <v>14</v>
      </c>
      <c r="M186" s="242">
        <v>73</v>
      </c>
      <c r="O186" s="242">
        <v>73.599999999999994</v>
      </c>
      <c r="P186" s="419">
        <v>16.2</v>
      </c>
      <c r="Q186" s="423">
        <v>151.30000000000001</v>
      </c>
      <c r="R186" s="434">
        <f t="shared" ref="R186:R194" si="31">D186-Q186</f>
        <v>-3.3307755102041199</v>
      </c>
      <c r="S186" s="435">
        <f t="shared" si="25"/>
        <v>-0.54800000000000004</v>
      </c>
    </row>
    <row r="187" spans="2:20" ht="15" customHeight="1" x14ac:dyDescent="0.2">
      <c r="B187" s="106">
        <v>3</v>
      </c>
      <c r="C187" s="121">
        <f t="shared" si="26"/>
        <v>103.02616326530611</v>
      </c>
      <c r="D187" s="700">
        <f>(F187+G187+M187+L187)+$E$179</f>
        <v>172.02616326530611</v>
      </c>
      <c r="E187" s="121">
        <f t="shared" si="28"/>
        <v>85.02616326530611</v>
      </c>
      <c r="F187" s="121">
        <f t="shared" si="24"/>
        <v>79.474163265306117</v>
      </c>
      <c r="G187" s="177">
        <f t="shared" si="24"/>
        <v>5.5519999999999996</v>
      </c>
      <c r="H187" s="157">
        <f t="shared" si="29"/>
        <v>6.5297548269656266E-2</v>
      </c>
      <c r="I187" s="121">
        <f t="shared" si="30"/>
        <v>73.3</v>
      </c>
      <c r="J187" s="696">
        <f t="shared" ref="J187:L194" si="32">J186</f>
        <v>69</v>
      </c>
      <c r="K187" s="692">
        <v>4</v>
      </c>
      <c r="L187" s="318">
        <f t="shared" si="32"/>
        <v>14</v>
      </c>
      <c r="M187" s="243">
        <v>73</v>
      </c>
      <c r="O187" s="243">
        <v>73.3</v>
      </c>
      <c r="P187" s="243">
        <v>16.899999999999999</v>
      </c>
      <c r="Q187" s="424">
        <v>176.5</v>
      </c>
      <c r="R187" s="436">
        <f t="shared" si="31"/>
        <v>-4.4738367346938901</v>
      </c>
      <c r="S187" s="437">
        <f t="shared" si="25"/>
        <v>-1.2480000000000002</v>
      </c>
    </row>
    <row r="188" spans="2:20" ht="15" customHeight="1" x14ac:dyDescent="0.2">
      <c r="B188" s="106">
        <v>4</v>
      </c>
      <c r="C188" s="121">
        <f t="shared" si="26"/>
        <v>123.38922448979594</v>
      </c>
      <c r="D188" s="700">
        <f t="shared" si="27"/>
        <v>192.38922448979594</v>
      </c>
      <c r="E188" s="121">
        <f t="shared" si="28"/>
        <v>105.38922448979595</v>
      </c>
      <c r="F188" s="121">
        <f t="shared" si="24"/>
        <v>97.51722448979595</v>
      </c>
      <c r="G188" s="177">
        <f t="shared" si="24"/>
        <v>7.8719999999999999</v>
      </c>
      <c r="H188" s="157">
        <f t="shared" si="29"/>
        <v>7.4694543375847564E-2</v>
      </c>
      <c r="I188" s="121">
        <f t="shared" si="30"/>
        <v>73.400000000000006</v>
      </c>
      <c r="J188" s="696">
        <f t="shared" si="32"/>
        <v>69</v>
      </c>
      <c r="K188" s="692">
        <v>4</v>
      </c>
      <c r="L188" s="318">
        <f t="shared" si="32"/>
        <v>14</v>
      </c>
      <c r="M188" s="243">
        <v>73</v>
      </c>
      <c r="O188" s="243">
        <v>73.400000000000006</v>
      </c>
      <c r="P188" s="243">
        <v>17.100000000000001</v>
      </c>
      <c r="Q188" s="424">
        <v>196.3</v>
      </c>
      <c r="R188" s="436">
        <f t="shared" si="31"/>
        <v>-3.9107755102040755</v>
      </c>
      <c r="S188" s="437">
        <f t="shared" si="25"/>
        <v>-1.5280000000000005</v>
      </c>
    </row>
    <row r="189" spans="2:20" ht="15" customHeight="1" x14ac:dyDescent="0.2">
      <c r="B189" s="106">
        <v>5</v>
      </c>
      <c r="C189" s="120">
        <f t="shared" si="26"/>
        <v>141.61469387755108</v>
      </c>
      <c r="D189" s="699">
        <f t="shared" si="27"/>
        <v>210.61469387755108</v>
      </c>
      <c r="E189" s="120">
        <f t="shared" si="28"/>
        <v>123.61469387755106</v>
      </c>
      <c r="F189" s="120">
        <f t="shared" si="24"/>
        <v>113.39569387755107</v>
      </c>
      <c r="G189" s="176">
        <f t="shared" si="24"/>
        <v>10.218999999999999</v>
      </c>
      <c r="H189" s="156">
        <f t="shared" si="29"/>
        <v>8.266816572892724E-2</v>
      </c>
      <c r="I189" s="120">
        <f t="shared" si="30"/>
        <v>73.400000000000006</v>
      </c>
      <c r="J189" s="695">
        <f t="shared" si="32"/>
        <v>69</v>
      </c>
      <c r="K189" s="691">
        <v>4</v>
      </c>
      <c r="L189" s="317">
        <f t="shared" si="32"/>
        <v>14</v>
      </c>
      <c r="M189" s="242">
        <v>73</v>
      </c>
      <c r="O189" s="242">
        <v>73.400000000000006</v>
      </c>
      <c r="P189" s="242">
        <v>17.3</v>
      </c>
      <c r="Q189" s="423">
        <v>216.2</v>
      </c>
      <c r="R189" s="434">
        <f t="shared" si="31"/>
        <v>-5.5853061224489124</v>
      </c>
      <c r="S189" s="435">
        <f t="shared" si="25"/>
        <v>-1.8810000000000002</v>
      </c>
    </row>
    <row r="190" spans="2:20" ht="15" customHeight="1" x14ac:dyDescent="0.2">
      <c r="B190" s="106">
        <v>10</v>
      </c>
      <c r="C190" s="121">
        <f t="shared" si="26"/>
        <v>222.40314285714288</v>
      </c>
      <c r="D190" s="700">
        <f t="shared" si="27"/>
        <v>291.40314285714288</v>
      </c>
      <c r="E190" s="121">
        <f t="shared" si="28"/>
        <v>204.40314285714288</v>
      </c>
      <c r="F190" s="121">
        <f t="shared" si="24"/>
        <v>181.91714285714289</v>
      </c>
      <c r="G190" s="177">
        <f t="shared" si="24"/>
        <v>22.486000000000001</v>
      </c>
      <c r="H190" s="157">
        <f t="shared" si="29"/>
        <v>0.11000809324989411</v>
      </c>
      <c r="I190" s="121">
        <f t="shared" si="30"/>
        <v>73.5</v>
      </c>
      <c r="J190" s="696">
        <f t="shared" si="32"/>
        <v>69</v>
      </c>
      <c r="K190" s="692">
        <v>4</v>
      </c>
      <c r="L190" s="318">
        <f t="shared" si="32"/>
        <v>14</v>
      </c>
      <c r="M190" s="243">
        <v>73</v>
      </c>
      <c r="O190" s="243">
        <v>73.5</v>
      </c>
      <c r="P190" s="243">
        <v>15.7</v>
      </c>
      <c r="Q190" s="424">
        <v>296.3</v>
      </c>
      <c r="R190" s="436">
        <f t="shared" si="31"/>
        <v>-4.8968571428571295</v>
      </c>
      <c r="S190" s="437">
        <f t="shared" si="25"/>
        <v>-2.6140000000000008</v>
      </c>
    </row>
    <row r="191" spans="2:20" ht="15" customHeight="1" x14ac:dyDescent="0.2">
      <c r="B191" s="106">
        <v>20</v>
      </c>
      <c r="C191" s="121">
        <f t="shared" si="26"/>
        <v>364.92442857142868</v>
      </c>
      <c r="D191" s="700">
        <f t="shared" si="27"/>
        <v>433.92442857142868</v>
      </c>
      <c r="E191" s="121">
        <f t="shared" si="28"/>
        <v>346.92442857142868</v>
      </c>
      <c r="F191" s="121">
        <f t="shared" si="24"/>
        <v>301.83142857142866</v>
      </c>
      <c r="G191" s="177">
        <f t="shared" si="24"/>
        <v>45.093000000000004</v>
      </c>
      <c r="H191" s="157">
        <f t="shared" si="29"/>
        <v>0.12997931620348768</v>
      </c>
      <c r="I191" s="121">
        <f t="shared" si="30"/>
        <v>73.5</v>
      </c>
      <c r="J191" s="696">
        <f t="shared" si="32"/>
        <v>69</v>
      </c>
      <c r="K191" s="692">
        <v>4</v>
      </c>
      <c r="L191" s="318">
        <f t="shared" si="32"/>
        <v>14</v>
      </c>
      <c r="M191" s="243">
        <v>73</v>
      </c>
      <c r="O191" s="243">
        <v>73.5</v>
      </c>
      <c r="P191" s="243">
        <v>13.4</v>
      </c>
      <c r="Q191" s="424">
        <v>435.5</v>
      </c>
      <c r="R191" s="436">
        <f t="shared" si="31"/>
        <v>-1.5755714285713225</v>
      </c>
      <c r="S191" s="437">
        <f t="shared" si="25"/>
        <v>-2.1069999999999993</v>
      </c>
    </row>
    <row r="192" spans="2:20" ht="15" customHeight="1" x14ac:dyDescent="0.2">
      <c r="B192" s="106">
        <v>30</v>
      </c>
      <c r="C192" s="121">
        <f t="shared" si="26"/>
        <v>495.46085714285721</v>
      </c>
      <c r="D192" s="700">
        <f t="shared" si="27"/>
        <v>564.46085714285721</v>
      </c>
      <c r="E192" s="121">
        <f>F192+G192</f>
        <v>477.46085714285721</v>
      </c>
      <c r="F192" s="121">
        <f t="shared" si="24"/>
        <v>415.40285714285721</v>
      </c>
      <c r="G192" s="177">
        <f t="shared" si="24"/>
        <v>62.058</v>
      </c>
      <c r="H192" s="157">
        <f t="shared" si="29"/>
        <v>0.1299750525547943</v>
      </c>
      <c r="I192" s="121">
        <f t="shared" si="30"/>
        <v>73.8</v>
      </c>
      <c r="J192" s="696">
        <f t="shared" si="32"/>
        <v>69</v>
      </c>
      <c r="K192" s="692">
        <v>4</v>
      </c>
      <c r="L192" s="318">
        <f t="shared" si="32"/>
        <v>14</v>
      </c>
      <c r="M192" s="243">
        <v>73</v>
      </c>
      <c r="O192" s="243">
        <v>73.8</v>
      </c>
      <c r="P192" s="243">
        <v>10.7</v>
      </c>
      <c r="Q192" s="424">
        <v>565.6</v>
      </c>
      <c r="R192" s="436">
        <f t="shared" si="31"/>
        <v>-1.139142857142815</v>
      </c>
      <c r="S192" s="437">
        <f t="shared" si="25"/>
        <v>-3.142000000000003</v>
      </c>
    </row>
    <row r="193" spans="1:19" ht="15" customHeight="1" x14ac:dyDescent="0.2">
      <c r="B193" s="106">
        <v>40</v>
      </c>
      <c r="C193" s="121">
        <f t="shared" si="26"/>
        <v>618.32642857142844</v>
      </c>
      <c r="D193" s="700">
        <f t="shared" si="27"/>
        <v>687.32642857142844</v>
      </c>
      <c r="E193" s="121">
        <f t="shared" ref="E193:E194" si="33">F193+G193</f>
        <v>599.32642857142844</v>
      </c>
      <c r="F193" s="121">
        <f t="shared" si="24"/>
        <v>521.43142857142846</v>
      </c>
      <c r="G193" s="177">
        <f t="shared" si="24"/>
        <v>77.894999999999996</v>
      </c>
      <c r="H193" s="157">
        <f t="shared" si="29"/>
        <v>0.12997090781675144</v>
      </c>
      <c r="I193" s="121">
        <f t="shared" si="30"/>
        <v>74.3</v>
      </c>
      <c r="J193" s="696">
        <f t="shared" si="32"/>
        <v>69</v>
      </c>
      <c r="K193" s="692">
        <v>4</v>
      </c>
      <c r="L193" s="318">
        <f t="shared" si="32"/>
        <v>14</v>
      </c>
      <c r="M193" s="243">
        <v>74</v>
      </c>
      <c r="O193" s="243">
        <v>74.3</v>
      </c>
      <c r="P193" s="243">
        <v>11</v>
      </c>
      <c r="Q193" s="424">
        <v>687.4</v>
      </c>
      <c r="R193" s="436">
        <f t="shared" si="31"/>
        <v>-7.3571428571540309E-2</v>
      </c>
      <c r="S193" s="437">
        <f t="shared" si="25"/>
        <v>-3.2049999999999983</v>
      </c>
    </row>
    <row r="194" spans="1:19" ht="15" customHeight="1" thickBot="1" x14ac:dyDescent="0.25">
      <c r="B194" s="106">
        <v>50</v>
      </c>
      <c r="C194" s="120">
        <f>(D194-J194)</f>
        <v>731.14314285714272</v>
      </c>
      <c r="D194" s="701">
        <f>(F194+G194+M194+L194)+$E$179</f>
        <v>800.14314285714272</v>
      </c>
      <c r="E194" s="120">
        <f t="shared" si="33"/>
        <v>711.14314285714272</v>
      </c>
      <c r="F194" s="120">
        <f t="shared" si="24"/>
        <v>618.71714285714268</v>
      </c>
      <c r="G194" s="176">
        <f t="shared" si="24"/>
        <v>92.426000000000002</v>
      </c>
      <c r="H194" s="156">
        <f t="shared" si="29"/>
        <v>0.12996820812848209</v>
      </c>
      <c r="I194" s="120">
        <f t="shared" si="30"/>
        <v>75.400000000000006</v>
      </c>
      <c r="J194" s="697">
        <f t="shared" si="32"/>
        <v>69</v>
      </c>
      <c r="K194" s="693">
        <v>4</v>
      </c>
      <c r="L194" s="553">
        <f t="shared" si="32"/>
        <v>14</v>
      </c>
      <c r="M194" s="554">
        <v>75</v>
      </c>
      <c r="O194" s="554">
        <v>75.400000000000006</v>
      </c>
      <c r="P194" s="242">
        <v>13.6</v>
      </c>
      <c r="Q194" s="423">
        <v>803.3</v>
      </c>
      <c r="R194" s="438">
        <f t="shared" si="31"/>
        <v>-3.1568571428572341</v>
      </c>
      <c r="S194" s="439">
        <f t="shared" si="25"/>
        <v>-3.0739999999999981</v>
      </c>
    </row>
    <row r="195" spans="1:19" ht="15" customHeight="1" x14ac:dyDescent="0.2">
      <c r="I195" s="38"/>
      <c r="J195" s="560"/>
      <c r="K195" s="561"/>
      <c r="L195" s="565"/>
      <c r="M195" s="565"/>
      <c r="N195" s="565"/>
      <c r="O195" s="572"/>
    </row>
    <row r="196" spans="1:19" ht="15" customHeight="1" thickBot="1" x14ac:dyDescent="0.25">
      <c r="I196" s="38"/>
      <c r="J196" s="568" t="s">
        <v>422</v>
      </c>
      <c r="K196" s="569"/>
      <c r="L196" s="573"/>
      <c r="M196" s="573"/>
      <c r="N196" s="573"/>
      <c r="O196" s="574"/>
    </row>
    <row r="197" spans="1:19" x14ac:dyDescent="0.2">
      <c r="A197" s="90" t="s">
        <v>82</v>
      </c>
      <c r="B197" s="64" t="s">
        <v>83</v>
      </c>
      <c r="I197" s="38"/>
    </row>
    <row r="198" spans="1:19" ht="15" customHeight="1" x14ac:dyDescent="0.2">
      <c r="N198" s="500" t="s">
        <v>377</v>
      </c>
    </row>
    <row r="199" spans="1:19" ht="15" customHeight="1" x14ac:dyDescent="0.2">
      <c r="B199" s="90" t="s">
        <v>91</v>
      </c>
      <c r="C199" s="40"/>
      <c r="H199" s="503"/>
      <c r="I199" s="38"/>
    </row>
    <row r="200" spans="1:19" ht="15" customHeight="1" x14ac:dyDescent="0.2">
      <c r="B200" s="64" t="s">
        <v>92</v>
      </c>
      <c r="C200" s="40"/>
      <c r="D200" s="40"/>
      <c r="E200" s="40"/>
      <c r="F200" s="40"/>
      <c r="G200" s="40"/>
      <c r="H200" s="40"/>
      <c r="I200" s="40"/>
      <c r="J200" s="40"/>
      <c r="K200" s="40"/>
      <c r="L200" s="40"/>
      <c r="Q200" s="28" t="s">
        <v>168</v>
      </c>
    </row>
    <row r="201" spans="1:19" ht="15" customHeight="1" x14ac:dyDescent="0.2">
      <c r="B201" s="90" t="s">
        <v>93</v>
      </c>
      <c r="C201" s="40"/>
      <c r="D201" s="40"/>
      <c r="E201" s="40"/>
      <c r="F201" s="306" t="s">
        <v>153</v>
      </c>
      <c r="G201" s="40"/>
      <c r="H201" s="40"/>
      <c r="I201" s="28" t="s">
        <v>24</v>
      </c>
      <c r="J201" s="40"/>
      <c r="K201" s="40"/>
      <c r="Q201" s="28" t="s">
        <v>169</v>
      </c>
    </row>
    <row r="202" spans="1:19" ht="15" customHeight="1" x14ac:dyDescent="0.2">
      <c r="D202" s="56"/>
      <c r="H202" s="31" t="s">
        <v>11</v>
      </c>
      <c r="I202" s="32"/>
      <c r="J202" s="32"/>
      <c r="K202" s="33"/>
      <c r="L202" s="31" t="s">
        <v>16</v>
      </c>
      <c r="M202" s="32"/>
      <c r="N202" s="33"/>
      <c r="O202" s="84"/>
      <c r="P202" s="91" t="s">
        <v>56</v>
      </c>
      <c r="Q202" t="s">
        <v>117</v>
      </c>
    </row>
    <row r="203" spans="1:19" ht="15" customHeight="1" x14ac:dyDescent="0.2">
      <c r="C203" s="41"/>
      <c r="D203" s="57"/>
      <c r="F203" s="304" t="s">
        <v>84</v>
      </c>
      <c r="G203" s="301" t="s">
        <v>119</v>
      </c>
      <c r="H203" s="18" t="s">
        <v>12</v>
      </c>
      <c r="I203" s="159" t="s">
        <v>27</v>
      </c>
      <c r="J203" s="9"/>
      <c r="K203" s="10"/>
      <c r="L203" s="18" t="s">
        <v>17</v>
      </c>
      <c r="M203" s="159" t="s">
        <v>40</v>
      </c>
      <c r="N203" s="25"/>
      <c r="O203" s="84"/>
      <c r="P203" s="95" t="s">
        <v>40</v>
      </c>
      <c r="Q203" s="254" t="e">
        <f>P203/M203</f>
        <v>#DIV/0!</v>
      </c>
      <c r="R203" s="254" t="e">
        <f>G203*Q203</f>
        <v>#DIV/0!</v>
      </c>
      <c r="S203" s="267" t="s">
        <v>130</v>
      </c>
    </row>
    <row r="204" spans="1:19" ht="15" customHeight="1" x14ac:dyDescent="0.2">
      <c r="B204" s="256" t="s">
        <v>5</v>
      </c>
      <c r="C204" s="257"/>
      <c r="D204" s="258"/>
      <c r="E204" s="303" t="s">
        <v>21</v>
      </c>
      <c r="F204" s="305" t="s">
        <v>23</v>
      </c>
      <c r="G204" s="302" t="s">
        <v>120</v>
      </c>
      <c r="H204" s="20" t="s">
        <v>13</v>
      </c>
      <c r="I204" s="21" t="s">
        <v>14</v>
      </c>
      <c r="J204" s="1"/>
      <c r="K204" s="22"/>
      <c r="L204" s="20" t="s">
        <v>18</v>
      </c>
      <c r="M204" s="21" t="s">
        <v>19</v>
      </c>
      <c r="N204" s="13"/>
      <c r="O204" s="84" t="s">
        <v>21</v>
      </c>
      <c r="P204" s="113" t="s">
        <v>54</v>
      </c>
      <c r="Q204" s="265" t="s">
        <v>115</v>
      </c>
      <c r="R204" s="265" t="s">
        <v>116</v>
      </c>
    </row>
    <row r="205" spans="1:19" ht="15" customHeight="1" x14ac:dyDescent="0.2">
      <c r="B205" s="259" t="s">
        <v>6</v>
      </c>
      <c r="C205" s="12" t="s">
        <v>9</v>
      </c>
      <c r="D205" s="260">
        <v>2.52</v>
      </c>
      <c r="E205" s="255">
        <v>1</v>
      </c>
      <c r="F205" s="249">
        <v>1.295472592151149</v>
      </c>
      <c r="G205" s="122">
        <v>1.2928509805311663</v>
      </c>
      <c r="H205" s="34">
        <f>(D206*2.20462*25.4*12)</f>
        <v>3124.6520184000001</v>
      </c>
      <c r="I205" s="5">
        <f>F205*D$205*SQRT(4*D$207*H$205/32.2)/12</f>
        <v>49.415122448979588</v>
      </c>
      <c r="J205" s="1"/>
      <c r="K205" s="22"/>
      <c r="L205" s="96">
        <v>1</v>
      </c>
      <c r="M205" s="92">
        <f>L205*I205</f>
        <v>49.415122448979588</v>
      </c>
      <c r="N205" s="13"/>
      <c r="O205" s="84">
        <v>1</v>
      </c>
      <c r="P205" s="92">
        <f>C185</f>
        <v>49.415122448979588</v>
      </c>
      <c r="Q205" s="254">
        <f>P205/M205</f>
        <v>1</v>
      </c>
      <c r="R205" s="254">
        <f>G205*Q205</f>
        <v>1.2928509805311663</v>
      </c>
      <c r="S205" s="267" t="s">
        <v>138</v>
      </c>
    </row>
    <row r="206" spans="1:19" ht="15" customHeight="1" x14ac:dyDescent="0.2">
      <c r="B206" s="259" t="s">
        <v>7</v>
      </c>
      <c r="C206" s="12" t="s">
        <v>10</v>
      </c>
      <c r="D206" s="444">
        <v>4.6500000000000004</v>
      </c>
      <c r="E206" s="255">
        <v>2</v>
      </c>
      <c r="F206" s="250">
        <v>1.0351331827173726</v>
      </c>
      <c r="G206" s="123">
        <v>1.0338223769073815</v>
      </c>
      <c r="H206" s="35"/>
      <c r="I206" s="5">
        <f t="shared" ref="I206:I214" si="34">F206*D$205*SQRT(4*D$207*H$205/32.2)/12</f>
        <v>39.484612244897939</v>
      </c>
      <c r="J206" s="1"/>
      <c r="K206" s="22"/>
      <c r="L206" s="97">
        <v>2</v>
      </c>
      <c r="M206" s="93">
        <f>L206*I206</f>
        <v>78.969224489795877</v>
      </c>
      <c r="N206" s="13"/>
      <c r="O206" s="84">
        <v>2</v>
      </c>
      <c r="P206" s="93">
        <f t="shared" ref="P206:P214" si="35">C186</f>
        <v>78.969224489795891</v>
      </c>
      <c r="Q206" s="254">
        <f t="shared" ref="Q206:Q214" si="36">P206/M206</f>
        <v>1.0000000000000002</v>
      </c>
      <c r="R206" s="254">
        <f t="shared" ref="R206:R214" si="37">G206*Q206</f>
        <v>1.0338223769073818</v>
      </c>
      <c r="S206" s="267" t="s">
        <v>139</v>
      </c>
    </row>
    <row r="207" spans="1:19" ht="15" customHeight="1" x14ac:dyDescent="0.2">
      <c r="B207" s="261" t="s">
        <v>8</v>
      </c>
      <c r="C207" s="262" t="s">
        <v>15</v>
      </c>
      <c r="D207" s="263">
        <v>85</v>
      </c>
      <c r="E207" s="255">
        <v>3</v>
      </c>
      <c r="F207" s="249">
        <v>0.90031528926188509</v>
      </c>
      <c r="G207" s="122">
        <v>0.89944141872189098</v>
      </c>
      <c r="H207" s="35"/>
      <c r="I207" s="5">
        <f t="shared" si="34"/>
        <v>34.342054421768701</v>
      </c>
      <c r="J207" s="1"/>
      <c r="K207" s="22"/>
      <c r="L207" s="98">
        <v>3</v>
      </c>
      <c r="M207" s="94">
        <f t="shared" ref="M207:M213" si="38">L207*I207</f>
        <v>103.02616326530611</v>
      </c>
      <c r="N207" s="13"/>
      <c r="O207" s="84">
        <v>3</v>
      </c>
      <c r="P207" s="94">
        <f t="shared" si="35"/>
        <v>103.02616326530611</v>
      </c>
      <c r="Q207" s="254">
        <f t="shared" si="36"/>
        <v>1</v>
      </c>
      <c r="R207" s="254">
        <f t="shared" si="37"/>
        <v>0.89944141872189098</v>
      </c>
    </row>
    <row r="208" spans="1:19" ht="15" customHeight="1" x14ac:dyDescent="0.2">
      <c r="E208" s="30">
        <v>4</v>
      </c>
      <c r="F208" s="249">
        <v>0.80869656175777016</v>
      </c>
      <c r="G208" s="122">
        <v>0.80804115885277439</v>
      </c>
      <c r="H208" s="35"/>
      <c r="I208" s="5">
        <f t="shared" si="34"/>
        <v>30.847306122448988</v>
      </c>
      <c r="J208" s="1"/>
      <c r="K208" s="22"/>
      <c r="L208" s="98">
        <v>4</v>
      </c>
      <c r="M208" s="94">
        <f t="shared" si="38"/>
        <v>123.38922448979595</v>
      </c>
      <c r="N208" s="13"/>
      <c r="O208" s="84">
        <v>4</v>
      </c>
      <c r="P208" s="94">
        <f t="shared" si="35"/>
        <v>123.38922448979594</v>
      </c>
      <c r="Q208" s="254">
        <f t="shared" si="36"/>
        <v>0.99999999999999989</v>
      </c>
      <c r="R208" s="254">
        <f t="shared" si="37"/>
        <v>0.80804115885277428</v>
      </c>
    </row>
    <row r="209" spans="1:19" ht="15" customHeight="1" x14ac:dyDescent="0.2">
      <c r="B209" s="268" t="s">
        <v>132</v>
      </c>
      <c r="E209" s="30">
        <v>5</v>
      </c>
      <c r="F209" s="250">
        <v>0.74251745405937342</v>
      </c>
      <c r="G209" s="123">
        <v>0.74199313173537673</v>
      </c>
      <c r="H209" s="35"/>
      <c r="I209" s="5">
        <f t="shared" si="34"/>
        <v>28.32293877551022</v>
      </c>
      <c r="J209" s="1"/>
      <c r="K209" s="22"/>
      <c r="L209" s="97">
        <v>5</v>
      </c>
      <c r="M209" s="93">
        <f t="shared" si="38"/>
        <v>141.6146938775511</v>
      </c>
      <c r="N209" s="13"/>
      <c r="O209" s="84">
        <v>5</v>
      </c>
      <c r="P209" s="93">
        <f t="shared" si="35"/>
        <v>141.61469387755108</v>
      </c>
      <c r="Q209" s="254">
        <f t="shared" si="36"/>
        <v>0.99999999999999978</v>
      </c>
      <c r="R209" s="254">
        <f t="shared" si="37"/>
        <v>0.74199313173537662</v>
      </c>
    </row>
    <row r="210" spans="1:19" ht="15" customHeight="1" x14ac:dyDescent="0.2">
      <c r="B210" s="42" t="s">
        <v>131</v>
      </c>
      <c r="E210" s="30">
        <v>10</v>
      </c>
      <c r="F210" s="249">
        <v>0.58305466363496727</v>
      </c>
      <c r="G210" s="122">
        <v>0.58279250247296899</v>
      </c>
      <c r="H210" s="35"/>
      <c r="I210" s="5">
        <f t="shared" si="34"/>
        <v>22.240314285714287</v>
      </c>
      <c r="J210" s="1"/>
      <c r="K210" s="22"/>
      <c r="L210" s="98">
        <v>10</v>
      </c>
      <c r="M210" s="94">
        <f t="shared" si="38"/>
        <v>222.40314285714288</v>
      </c>
      <c r="N210" s="13"/>
      <c r="O210" s="84">
        <v>10</v>
      </c>
      <c r="P210" s="94">
        <f t="shared" si="35"/>
        <v>222.40314285714288</v>
      </c>
      <c r="Q210" s="254">
        <f t="shared" si="36"/>
        <v>1</v>
      </c>
      <c r="R210" s="254">
        <f t="shared" si="37"/>
        <v>0.58279250247296899</v>
      </c>
    </row>
    <row r="211" spans="1:19" ht="15" customHeight="1" x14ac:dyDescent="0.2">
      <c r="E211" s="30">
        <v>20</v>
      </c>
      <c r="F211" s="249">
        <v>0.47834506117920961</v>
      </c>
      <c r="G211" s="122">
        <v>0.47821398059821041</v>
      </c>
      <c r="H211" s="35"/>
      <c r="I211" s="5">
        <f t="shared" si="34"/>
        <v>18.246221428571435</v>
      </c>
      <c r="J211" s="1"/>
      <c r="K211" s="22"/>
      <c r="L211" s="98">
        <v>20</v>
      </c>
      <c r="M211" s="94">
        <f t="shared" si="38"/>
        <v>364.92442857142868</v>
      </c>
      <c r="N211" s="13"/>
      <c r="O211" s="84">
        <v>20</v>
      </c>
      <c r="P211" s="94">
        <f t="shared" si="35"/>
        <v>364.92442857142868</v>
      </c>
      <c r="Q211" s="254">
        <f t="shared" si="36"/>
        <v>1</v>
      </c>
      <c r="R211" s="254">
        <f t="shared" si="37"/>
        <v>0.47821398059821041</v>
      </c>
    </row>
    <row r="212" spans="1:19" ht="15" customHeight="1" x14ac:dyDescent="0.2">
      <c r="E212" s="30">
        <v>30</v>
      </c>
      <c r="F212" s="249">
        <v>0.43296864677744112</v>
      </c>
      <c r="G212" s="122">
        <v>0.43288125972344171</v>
      </c>
      <c r="H212" s="35"/>
      <c r="I212" s="5">
        <f t="shared" si="34"/>
        <v>16.515361904761907</v>
      </c>
      <c r="J212" s="1"/>
      <c r="K212" s="22"/>
      <c r="L212" s="98">
        <v>30</v>
      </c>
      <c r="M212" s="94">
        <f>L212*I212</f>
        <v>495.46085714285721</v>
      </c>
      <c r="N212" s="13"/>
      <c r="O212" s="84">
        <v>30</v>
      </c>
      <c r="P212" s="94">
        <f t="shared" si="35"/>
        <v>495.46085714285721</v>
      </c>
      <c r="Q212" s="254">
        <f t="shared" si="36"/>
        <v>1</v>
      </c>
      <c r="R212" s="254">
        <f t="shared" si="37"/>
        <v>0.43288125972344171</v>
      </c>
    </row>
    <row r="213" spans="1:19" ht="15" customHeight="1" x14ac:dyDescent="0.2">
      <c r="E213" s="30">
        <v>40</v>
      </c>
      <c r="F213" s="249">
        <v>0.40525293752132124</v>
      </c>
      <c r="G213" s="122">
        <v>0.40518739723082164</v>
      </c>
      <c r="H213" s="35"/>
      <c r="I213" s="5">
        <f t="shared" si="34"/>
        <v>15.458160714285711</v>
      </c>
      <c r="J213" s="1"/>
      <c r="K213" s="22"/>
      <c r="L213" s="98">
        <v>40</v>
      </c>
      <c r="M213" s="94">
        <f t="shared" si="38"/>
        <v>618.32642857142844</v>
      </c>
      <c r="N213" s="13"/>
      <c r="O213" s="84">
        <v>40</v>
      </c>
      <c r="P213" s="126">
        <f t="shared" si="35"/>
        <v>618.32642857142844</v>
      </c>
      <c r="Q213" s="254">
        <f t="shared" si="36"/>
        <v>1</v>
      </c>
      <c r="R213" s="254">
        <f t="shared" si="37"/>
        <v>0.40518739723082164</v>
      </c>
    </row>
    <row r="214" spans="1:19" ht="15" customHeight="1" x14ac:dyDescent="0.2">
      <c r="E214" s="30">
        <v>50</v>
      </c>
      <c r="F214" s="250">
        <v>0.38335467183699728</v>
      </c>
      <c r="G214" s="123">
        <v>0.38330223960459769</v>
      </c>
      <c r="H214" s="36"/>
      <c r="I214" s="23">
        <f t="shared" si="34"/>
        <v>14.622862857142854</v>
      </c>
      <c r="J214" s="24"/>
      <c r="K214" s="17"/>
      <c r="L214" s="99">
        <v>50</v>
      </c>
      <c r="M214" s="100">
        <f>L214*I214</f>
        <v>731.14314285714272</v>
      </c>
      <c r="N214" s="16"/>
      <c r="O214" s="107">
        <v>50</v>
      </c>
      <c r="P214" s="127">
        <f t="shared" si="35"/>
        <v>731.14314285714272</v>
      </c>
      <c r="Q214" s="254">
        <f t="shared" si="36"/>
        <v>1</v>
      </c>
      <c r="R214" s="254">
        <f t="shared" si="37"/>
        <v>0.38330223960459769</v>
      </c>
    </row>
    <row r="215" spans="1:19" ht="15" customHeight="1" thickBot="1" x14ac:dyDescent="0.25">
      <c r="E215" s="2"/>
      <c r="F215" s="160"/>
      <c r="G215" s="160"/>
      <c r="H215" s="40"/>
      <c r="I215" s="161"/>
      <c r="J215" s="40"/>
      <c r="K215" s="40"/>
      <c r="L215" s="162"/>
      <c r="M215" s="162"/>
      <c r="N215" s="66"/>
      <c r="O215" s="163"/>
      <c r="P215" s="162"/>
    </row>
    <row r="216" spans="1:19" ht="15" customHeight="1" x14ac:dyDescent="0.2">
      <c r="E216" s="560"/>
      <c r="F216" s="561"/>
      <c r="G216" s="562"/>
      <c r="H216" s="563"/>
      <c r="I216" s="564"/>
      <c r="J216" s="563"/>
      <c r="K216" s="565"/>
      <c r="L216" s="566"/>
      <c r="M216" s="567"/>
      <c r="N216" s="322" t="s">
        <v>167</v>
      </c>
      <c r="P216" s="162"/>
    </row>
    <row r="217" spans="1:19" ht="15" customHeight="1" thickBot="1" x14ac:dyDescent="0.25">
      <c r="E217" s="568" t="s">
        <v>423</v>
      </c>
      <c r="F217" s="569"/>
      <c r="G217" s="570"/>
      <c r="H217" s="570"/>
      <c r="I217" s="570"/>
      <c r="J217" s="570"/>
      <c r="K217" s="570"/>
      <c r="L217" s="570"/>
      <c r="M217" s="571"/>
      <c r="P217" s="41"/>
    </row>
    <row r="218" spans="1:19" ht="15" customHeight="1" x14ac:dyDescent="0.2">
      <c r="A218" s="90" t="s">
        <v>85</v>
      </c>
      <c r="B218" s="64" t="s">
        <v>86</v>
      </c>
    </row>
    <row r="219" spans="1:19" ht="15" customHeight="1" x14ac:dyDescent="0.2">
      <c r="B219" s="64" t="s">
        <v>372</v>
      </c>
    </row>
    <row r="220" spans="1:19" ht="15" customHeight="1" x14ac:dyDescent="0.2"/>
    <row r="221" spans="1:19" ht="15" customHeight="1" x14ac:dyDescent="0.2">
      <c r="B221" s="90"/>
      <c r="F221" s="1"/>
    </row>
    <row r="222" spans="1:19" ht="15" customHeight="1" x14ac:dyDescent="0.2">
      <c r="B222" s="64"/>
      <c r="J222" s="64" t="s">
        <v>88</v>
      </c>
    </row>
    <row r="223" spans="1:19" ht="15" customHeight="1" thickBot="1" x14ac:dyDescent="0.25">
      <c r="B223" s="90"/>
      <c r="H223" s="502" t="s">
        <v>373</v>
      </c>
    </row>
    <row r="224" spans="1:19" ht="15" customHeight="1" x14ac:dyDescent="0.2">
      <c r="F224" s="117" t="s">
        <v>56</v>
      </c>
      <c r="L224" s="164" t="s">
        <v>90</v>
      </c>
      <c r="O224" s="594"/>
      <c r="P224" s="590"/>
      <c r="S224" s="174" t="s">
        <v>97</v>
      </c>
    </row>
    <row r="225" spans="2:19" ht="15" customHeight="1" x14ac:dyDescent="0.2">
      <c r="F225" s="117" t="s">
        <v>33</v>
      </c>
      <c r="H225" s="173" t="s">
        <v>33</v>
      </c>
      <c r="L225" s="65">
        <v>1</v>
      </c>
      <c r="M225" s="52" t="s">
        <v>12</v>
      </c>
      <c r="N225" s="124" t="s">
        <v>27</v>
      </c>
      <c r="O225" s="595" t="s">
        <v>33</v>
      </c>
      <c r="P225" s="149" t="s">
        <v>52</v>
      </c>
      <c r="S225" s="421" t="str">
        <f>J155</f>
        <v xml:space="preserve"> 5-8-13</v>
      </c>
    </row>
    <row r="226" spans="2:19" ht="15" customHeight="1" x14ac:dyDescent="0.2">
      <c r="B226" s="269">
        <f>D205</f>
        <v>2.52</v>
      </c>
      <c r="C226" s="78" t="s">
        <v>3</v>
      </c>
      <c r="D226" s="10"/>
      <c r="E226" s="3" t="s">
        <v>2</v>
      </c>
      <c r="F226" s="117" t="s">
        <v>72</v>
      </c>
      <c r="G226" s="29" t="s">
        <v>20</v>
      </c>
      <c r="H226" s="4" t="s">
        <v>25</v>
      </c>
      <c r="J226" s="38" t="s">
        <v>60</v>
      </c>
      <c r="K226" s="3" t="s">
        <v>2</v>
      </c>
      <c r="L226" s="548" t="s">
        <v>25</v>
      </c>
      <c r="M226" s="21" t="s">
        <v>13</v>
      </c>
      <c r="N226" s="125" t="s">
        <v>61</v>
      </c>
      <c r="O226" s="596" t="s">
        <v>19</v>
      </c>
      <c r="P226" s="149" t="s">
        <v>36</v>
      </c>
      <c r="Q226" s="165" t="s">
        <v>96</v>
      </c>
      <c r="R226" s="165" t="s">
        <v>59</v>
      </c>
      <c r="S226" s="172" t="s">
        <v>28</v>
      </c>
    </row>
    <row r="227" spans="2:19" ht="15" customHeight="1" x14ac:dyDescent="0.2">
      <c r="B227" s="443">
        <f t="shared" ref="B227:B228" si="39">D206</f>
        <v>4.6500000000000004</v>
      </c>
      <c r="C227" s="1" t="s">
        <v>0</v>
      </c>
      <c r="D227" s="22"/>
      <c r="E227" s="71">
        <v>1</v>
      </c>
      <c r="F227" s="55">
        <f>F185</f>
        <v>29.897122448979594</v>
      </c>
      <c r="G227" s="46">
        <f>F227/E227</f>
        <v>29.897122448979594</v>
      </c>
      <c r="H227" s="178">
        <f t="shared" ref="H227:H236" si="40">SQRT(12*32.2*G227^2/(4*$B$228*($B$227*56)*$B$226^2))</f>
        <v>0.78376787700007433</v>
      </c>
      <c r="I227" s="718"/>
      <c r="J227" s="178">
        <v>0.78376787700007433</v>
      </c>
      <c r="K227" s="544">
        <v>1</v>
      </c>
      <c r="L227" s="549">
        <f>J227*$L$225</f>
        <v>0.78376787700007433</v>
      </c>
      <c r="M227" s="5">
        <f>(B227*2.20462*25.4*12)</f>
        <v>3124.6520184000001</v>
      </c>
      <c r="N227" s="74">
        <f t="shared" ref="N227:N236" si="41">L227*B$226*SQRT(4*B$228*M$227/32.2)/12</f>
        <v>29.896414519448694</v>
      </c>
      <c r="O227" s="597">
        <f>K227*N227</f>
        <v>29.896414519448694</v>
      </c>
      <c r="P227" s="591">
        <f t="shared" ref="P227:P236" si="42">M157</f>
        <v>1.0507741172278542</v>
      </c>
      <c r="Q227" s="60">
        <f>P227*O227</f>
        <v>31.414378574951705</v>
      </c>
      <c r="R227" s="166">
        <f>Q227-O227</f>
        <v>1.5179640555030112</v>
      </c>
      <c r="S227" s="732">
        <f>R227/Q227</f>
        <v>4.8320677484715926E-2</v>
      </c>
    </row>
    <row r="228" spans="2:19" ht="15" customHeight="1" x14ac:dyDescent="0.2">
      <c r="B228" s="271">
        <f t="shared" si="39"/>
        <v>85</v>
      </c>
      <c r="C228" s="77" t="s">
        <v>1</v>
      </c>
      <c r="D228" s="17"/>
      <c r="E228" s="70">
        <v>2</v>
      </c>
      <c r="F228" s="54">
        <f t="shared" ref="F228:F236" si="43">F186</f>
        <v>57.517224489795893</v>
      </c>
      <c r="G228" s="45">
        <f t="shared" ref="G228:G236" si="44">F228/E228</f>
        <v>28.758612244897947</v>
      </c>
      <c r="H228" s="179">
        <f t="shared" si="40"/>
        <v>0.75392126794534742</v>
      </c>
      <c r="I228" s="718"/>
      <c r="J228" s="179">
        <v>0.75392126794534742</v>
      </c>
      <c r="K228" s="545">
        <v>2</v>
      </c>
      <c r="L228" s="550">
        <f t="shared" ref="L228:L236" si="45">J228*$L$225</f>
        <v>0.75392126794534742</v>
      </c>
      <c r="N228" s="73">
        <f t="shared" si="41"/>
        <v>28.757931273981409</v>
      </c>
      <c r="O228" s="598">
        <f t="shared" ref="O228:O236" si="46">K228*N228</f>
        <v>57.515862547962818</v>
      </c>
      <c r="P228" s="591">
        <f t="shared" si="42"/>
        <v>1.0600168041942359</v>
      </c>
      <c r="Q228" s="59">
        <f t="shared" ref="Q228:Q236" si="47">P228*O228</f>
        <v>60.967780808566488</v>
      </c>
      <c r="R228" s="167">
        <f t="shared" ref="R228:R236" si="48">Q228-O228</f>
        <v>3.4519182606036694</v>
      </c>
      <c r="S228" s="733">
        <f t="shared" ref="S228:S236" si="49">R228/Q228</f>
        <v>5.6618729020864178E-2</v>
      </c>
    </row>
    <row r="229" spans="2:19" ht="15" customHeight="1" x14ac:dyDescent="0.2">
      <c r="E229" s="69">
        <v>3</v>
      </c>
      <c r="F229" s="50">
        <f t="shared" si="43"/>
        <v>79.474163265306117</v>
      </c>
      <c r="G229" s="44">
        <f t="shared" si="44"/>
        <v>26.491387755102039</v>
      </c>
      <c r="H229" s="180">
        <f t="shared" si="40"/>
        <v>0.69448485468910892</v>
      </c>
      <c r="I229" s="718"/>
      <c r="J229" s="180">
        <v>0.69448485468910892</v>
      </c>
      <c r="K229" s="546">
        <v>3</v>
      </c>
      <c r="L229" s="551">
        <f t="shared" si="45"/>
        <v>0.69448485468910892</v>
      </c>
      <c r="N229" s="72">
        <f t="shared" si="41"/>
        <v>26.490760469458134</v>
      </c>
      <c r="O229" s="599">
        <f>K229*N229</f>
        <v>79.4722814083744</v>
      </c>
      <c r="P229" s="591">
        <f t="shared" si="42"/>
        <v>1.0698591815489258</v>
      </c>
      <c r="Q229" s="58">
        <f t="shared" si="47"/>
        <v>85.024149943389347</v>
      </c>
      <c r="R229" s="168">
        <f>Q229-O229</f>
        <v>5.5518685350149468</v>
      </c>
      <c r="S229" s="734">
        <f t="shared" si="49"/>
        <v>6.5297548269656142E-2</v>
      </c>
    </row>
    <row r="230" spans="2:19" ht="15" customHeight="1" x14ac:dyDescent="0.2">
      <c r="E230" s="69">
        <v>4</v>
      </c>
      <c r="F230" s="50">
        <f t="shared" si="43"/>
        <v>97.51722448979595</v>
      </c>
      <c r="G230" s="44">
        <f t="shared" si="44"/>
        <v>24.379306122448988</v>
      </c>
      <c r="H230" s="180">
        <f t="shared" si="40"/>
        <v>0.63911558829565274</v>
      </c>
      <c r="I230" s="718"/>
      <c r="J230" s="180">
        <v>0.63911558829565274</v>
      </c>
      <c r="K230" s="546">
        <v>4</v>
      </c>
      <c r="L230" s="551">
        <f t="shared" si="45"/>
        <v>0.63911558829565274</v>
      </c>
      <c r="N230" s="72">
        <f t="shared" si="41"/>
        <v>24.378728848472992</v>
      </c>
      <c r="O230" s="599">
        <f t="shared" si="46"/>
        <v>97.514915393891968</v>
      </c>
      <c r="P230" s="591">
        <f t="shared" si="42"/>
        <v>1.0807242006854256</v>
      </c>
      <c r="Q230" s="58">
        <f t="shared" si="47"/>
        <v>105.38672899397081</v>
      </c>
      <c r="R230" s="168">
        <f>Q230-O230</f>
        <v>7.8718136000788377</v>
      </c>
      <c r="S230" s="734">
        <f t="shared" si="49"/>
        <v>7.4694543375847494E-2</v>
      </c>
    </row>
    <row r="231" spans="2:19" ht="15" customHeight="1" x14ac:dyDescent="0.2">
      <c r="E231" s="70">
        <v>5</v>
      </c>
      <c r="F231" s="54">
        <f t="shared" si="43"/>
        <v>113.39569387755107</v>
      </c>
      <c r="G231" s="45">
        <f t="shared" si="44"/>
        <v>22.679138775510214</v>
      </c>
      <c r="H231" s="179">
        <f t="shared" si="40"/>
        <v>0.59454485897783727</v>
      </c>
      <c r="I231" s="718"/>
      <c r="J231" s="179">
        <v>0.59454485897783727</v>
      </c>
      <c r="K231" s="545">
        <v>5</v>
      </c>
      <c r="L231" s="550">
        <f t="shared" si="45"/>
        <v>0.59454485897783727</v>
      </c>
      <c r="N231" s="73">
        <f t="shared" si="41"/>
        <v>22.678601759544819</v>
      </c>
      <c r="O231" s="598">
        <f t="shared" si="46"/>
        <v>113.39300879772409</v>
      </c>
      <c r="P231" s="591">
        <f t="shared" si="42"/>
        <v>1.0901180604885654</v>
      </c>
      <c r="Q231" s="59">
        <f t="shared" si="47"/>
        <v>123.61176682353782</v>
      </c>
      <c r="R231" s="167">
        <f t="shared" si="48"/>
        <v>10.218758025813727</v>
      </c>
      <c r="S231" s="733">
        <f t="shared" si="49"/>
        <v>8.2668165728927184E-2</v>
      </c>
    </row>
    <row r="232" spans="2:19" ht="15" customHeight="1" x14ac:dyDescent="0.2">
      <c r="E232" s="69">
        <v>10</v>
      </c>
      <c r="F232" s="50">
        <f t="shared" si="43"/>
        <v>181.91714285714289</v>
      </c>
      <c r="G232" s="44">
        <f t="shared" si="44"/>
        <v>18.191714285714291</v>
      </c>
      <c r="H232" s="180">
        <f t="shared" si="40"/>
        <v>0.47690480276281072</v>
      </c>
      <c r="I232" s="718"/>
      <c r="J232" s="180">
        <v>0.47690480276281072</v>
      </c>
      <c r="K232" s="547">
        <v>10</v>
      </c>
      <c r="L232" s="551">
        <f t="shared" si="45"/>
        <v>0.47690480276281072</v>
      </c>
      <c r="M232" s="41"/>
      <c r="N232" s="76">
        <f t="shared" si="41"/>
        <v>18.191283526808231</v>
      </c>
      <c r="O232" s="600">
        <f t="shared" si="46"/>
        <v>181.91283526808232</v>
      </c>
      <c r="P232" s="591">
        <f t="shared" si="42"/>
        <v>1.1236057231706742</v>
      </c>
      <c r="Q232" s="58">
        <f t="shared" si="47"/>
        <v>204.39830282542135</v>
      </c>
      <c r="R232" s="168">
        <f t="shared" si="48"/>
        <v>22.485467557339035</v>
      </c>
      <c r="S232" s="734">
        <f t="shared" si="49"/>
        <v>0.11000809324989405</v>
      </c>
    </row>
    <row r="233" spans="2:19" ht="15" customHeight="1" x14ac:dyDescent="0.2">
      <c r="E233" s="69">
        <v>20</v>
      </c>
      <c r="F233" s="50">
        <f t="shared" si="43"/>
        <v>301.83142857142866</v>
      </c>
      <c r="G233" s="44">
        <f t="shared" si="44"/>
        <v>15.091571428571433</v>
      </c>
      <c r="H233" s="180">
        <f t="shared" si="40"/>
        <v>0.39563302185191129</v>
      </c>
      <c r="I233" s="718"/>
      <c r="J233" s="180">
        <v>0.39563302185191129</v>
      </c>
      <c r="K233" s="546">
        <v>20</v>
      </c>
      <c r="L233" s="551">
        <f t="shared" si="45"/>
        <v>0.39563302185191129</v>
      </c>
      <c r="N233" s="72">
        <f t="shared" si="41"/>
        <v>15.091214077488559</v>
      </c>
      <c r="O233" s="599">
        <f t="shared" si="46"/>
        <v>301.82428154977117</v>
      </c>
      <c r="P233" s="591">
        <f t="shared" si="42"/>
        <v>1.1493979610189227</v>
      </c>
      <c r="Q233" s="58">
        <f t="shared" si="47"/>
        <v>346.91621379930825</v>
      </c>
      <c r="R233" s="168">
        <f t="shared" si="48"/>
        <v>45.091932249537081</v>
      </c>
      <c r="S233" s="734">
        <f t="shared" si="49"/>
        <v>0.12997931620348785</v>
      </c>
    </row>
    <row r="234" spans="2:19" ht="15" customHeight="1" x14ac:dyDescent="0.2">
      <c r="E234" s="69">
        <v>30</v>
      </c>
      <c r="F234" s="50">
        <f t="shared" si="43"/>
        <v>415.40285714285721</v>
      </c>
      <c r="G234" s="44">
        <f t="shared" si="44"/>
        <v>13.846761904761907</v>
      </c>
      <c r="H234" s="180">
        <f t="shared" si="40"/>
        <v>0.3629997234664018</v>
      </c>
      <c r="I234" s="718"/>
      <c r="J234" s="180">
        <v>0.3629997234664018</v>
      </c>
      <c r="K234" s="546">
        <v>30</v>
      </c>
      <c r="L234" s="551">
        <f t="shared" si="45"/>
        <v>0.3629997234664018</v>
      </c>
      <c r="N234" s="72">
        <f t="shared" si="41"/>
        <v>13.846434029339234</v>
      </c>
      <c r="O234" s="599">
        <f t="shared" si="46"/>
        <v>415.393020880177</v>
      </c>
      <c r="P234" s="591">
        <f t="shared" si="42"/>
        <v>1.1493923282734144</v>
      </c>
      <c r="Q234" s="58">
        <f t="shared" si="47"/>
        <v>477.44955141799369</v>
      </c>
      <c r="R234" s="168">
        <f t="shared" si="48"/>
        <v>62.056530537816684</v>
      </c>
      <c r="S234" s="734">
        <f t="shared" si="49"/>
        <v>0.12997505255479427</v>
      </c>
    </row>
    <row r="235" spans="2:19" ht="15" customHeight="1" x14ac:dyDescent="0.2">
      <c r="E235" s="69">
        <v>40</v>
      </c>
      <c r="F235" s="50">
        <f t="shared" si="43"/>
        <v>521.43142857142846</v>
      </c>
      <c r="G235" s="44">
        <f t="shared" si="44"/>
        <v>13.035785714285712</v>
      </c>
      <c r="H235" s="180">
        <f t="shared" si="40"/>
        <v>0.34173958084927075</v>
      </c>
      <c r="I235" s="718"/>
      <c r="J235" s="180">
        <v>0.34173958084927075</v>
      </c>
      <c r="K235" s="546">
        <v>40</v>
      </c>
      <c r="L235" s="551">
        <f t="shared" si="45"/>
        <v>0.34173958084927075</v>
      </c>
      <c r="N235" s="72">
        <f t="shared" si="41"/>
        <v>13.035477041848042</v>
      </c>
      <c r="O235" s="599">
        <f t="shared" si="46"/>
        <v>521.41908167392171</v>
      </c>
      <c r="P235" s="591">
        <f t="shared" si="42"/>
        <v>1.1493868526747799</v>
      </c>
      <c r="Q235" s="58">
        <f t="shared" si="47"/>
        <v>599.31223720976288</v>
      </c>
      <c r="R235" s="168">
        <f t="shared" si="48"/>
        <v>77.893155535841174</v>
      </c>
      <c r="S235" s="734">
        <f t="shared" si="49"/>
        <v>0.12997090781675147</v>
      </c>
    </row>
    <row r="236" spans="2:19" ht="15" customHeight="1" thickBot="1" x14ac:dyDescent="0.25">
      <c r="E236" s="70">
        <v>50</v>
      </c>
      <c r="F236" s="54">
        <f t="shared" si="43"/>
        <v>618.71714285714268</v>
      </c>
      <c r="G236" s="45">
        <f t="shared" si="44"/>
        <v>12.374342857142853</v>
      </c>
      <c r="H236" s="179">
        <f t="shared" si="40"/>
        <v>0.32439952864911609</v>
      </c>
      <c r="I236" s="718"/>
      <c r="J236" s="179">
        <v>0.32439952864911609</v>
      </c>
      <c r="K236" s="555">
        <v>50</v>
      </c>
      <c r="L236" s="556">
        <f t="shared" si="45"/>
        <v>0.32439952864911609</v>
      </c>
      <c r="N236" s="557">
        <f t="shared" si="41"/>
        <v>12.374049846912554</v>
      </c>
      <c r="O236" s="601">
        <f t="shared" si="46"/>
        <v>618.70249234562766</v>
      </c>
      <c r="P236" s="592">
        <f t="shared" si="42"/>
        <v>1.149383286154301</v>
      </c>
      <c r="Q236" s="59">
        <f t="shared" si="47"/>
        <v>711.12630380407381</v>
      </c>
      <c r="R236" s="167">
        <f t="shared" si="48"/>
        <v>92.423811458446153</v>
      </c>
      <c r="S236" s="733">
        <f t="shared" si="49"/>
        <v>0.12996820812848223</v>
      </c>
    </row>
    <row r="237" spans="2:19" ht="15" customHeight="1" x14ac:dyDescent="0.2">
      <c r="E237" s="323"/>
      <c r="F237" s="324"/>
      <c r="G237" s="323"/>
      <c r="H237" s="325"/>
      <c r="I237" s="41"/>
      <c r="J237" s="325"/>
      <c r="K237" s="560"/>
      <c r="L237" s="561"/>
      <c r="M237" s="563"/>
      <c r="N237" s="578"/>
      <c r="O237" s="593"/>
      <c r="P237" s="326"/>
      <c r="Q237" s="324"/>
      <c r="R237" s="324"/>
      <c r="S237" s="327"/>
    </row>
    <row r="238" spans="2:19" ht="15" customHeight="1" thickBot="1" x14ac:dyDescent="0.25">
      <c r="E238" s="323"/>
      <c r="F238" s="324"/>
      <c r="G238" s="323"/>
      <c r="H238" s="325"/>
      <c r="I238" s="41"/>
      <c r="J238" s="325"/>
      <c r="K238" s="568" t="s">
        <v>421</v>
      </c>
      <c r="L238" s="569"/>
      <c r="M238" s="570"/>
      <c r="N238" s="580"/>
      <c r="O238" s="581"/>
      <c r="P238" s="326"/>
      <c r="Q238" s="504" t="s">
        <v>378</v>
      </c>
      <c r="S238" s="327"/>
    </row>
    <row r="239" spans="2:19" ht="15" customHeight="1" x14ac:dyDescent="0.2">
      <c r="E239" s="323"/>
      <c r="F239" s="324"/>
      <c r="G239" s="323"/>
      <c r="H239" s="325"/>
      <c r="I239" s="41"/>
      <c r="J239" s="325"/>
      <c r="K239" s="552"/>
      <c r="L239" s="325"/>
      <c r="M239" s="41"/>
      <c r="N239" s="324"/>
      <c r="O239" s="324"/>
      <c r="P239" s="326"/>
      <c r="Q239" s="324"/>
      <c r="R239" s="311" t="s">
        <v>313</v>
      </c>
      <c r="S239" s="327"/>
    </row>
    <row r="240" spans="2:19" ht="15" customHeight="1" x14ac:dyDescent="0.2">
      <c r="E240" s="323"/>
      <c r="F240" s="324"/>
      <c r="G240" s="323"/>
      <c r="H240" s="325"/>
      <c r="I240" s="41"/>
      <c r="J240" s="325"/>
      <c r="K240" s="323"/>
      <c r="L240" s="325"/>
      <c r="M240" s="41"/>
      <c r="N240" s="324"/>
      <c r="O240" s="324"/>
      <c r="P240" s="326"/>
      <c r="Q240" s="324"/>
      <c r="R240" s="311" t="s">
        <v>53</v>
      </c>
      <c r="S240" s="327"/>
    </row>
    <row r="241" spans="1:19" ht="15" customHeight="1" x14ac:dyDescent="0.2">
      <c r="E241" s="323"/>
      <c r="F241" s="324"/>
      <c r="G241" s="323"/>
      <c r="H241" s="325"/>
      <c r="I241" s="41"/>
      <c r="J241" s="325"/>
      <c r="K241" s="323"/>
      <c r="L241" s="325"/>
      <c r="M241" s="41"/>
      <c r="N241" s="324"/>
      <c r="O241" s="324"/>
      <c r="P241" s="326"/>
      <c r="Q241" s="324"/>
      <c r="R241" s="425">
        <f>E157</f>
        <v>1.518</v>
      </c>
      <c r="S241" s="327">
        <f>R241/R227</f>
        <v>1.0000236794124726</v>
      </c>
    </row>
    <row r="242" spans="1:19" ht="15" customHeight="1" x14ac:dyDescent="0.2">
      <c r="E242" s="323"/>
      <c r="F242" s="324"/>
      <c r="G242" s="323"/>
      <c r="H242" s="325"/>
      <c r="I242" s="41"/>
      <c r="J242" s="325"/>
      <c r="K242" s="323"/>
      <c r="L242" s="325"/>
      <c r="M242" s="41"/>
      <c r="N242" s="324"/>
      <c r="O242" s="324"/>
      <c r="P242" s="326"/>
      <c r="Q242" s="324"/>
      <c r="R242" s="167">
        <f t="shared" ref="R242:R250" si="50">E158</f>
        <v>3.452</v>
      </c>
      <c r="S242" s="327">
        <f t="shared" ref="S242:S250" si="51">R242/R228</f>
        <v>1.0000236794124773</v>
      </c>
    </row>
    <row r="243" spans="1:19" ht="15" customHeight="1" x14ac:dyDescent="0.2">
      <c r="R243" s="168">
        <f t="shared" si="50"/>
        <v>5.5519999999999996</v>
      </c>
      <c r="S243" s="327">
        <f t="shared" si="51"/>
        <v>1.0000236794124759</v>
      </c>
    </row>
    <row r="244" spans="1:19" ht="15" customHeight="1" x14ac:dyDescent="0.2">
      <c r="R244" s="168">
        <f t="shared" si="50"/>
        <v>7.8719999999999999</v>
      </c>
      <c r="S244" s="327">
        <f t="shared" si="51"/>
        <v>1.0000236794124751</v>
      </c>
    </row>
    <row r="245" spans="1:19" ht="15" customHeight="1" x14ac:dyDescent="0.2">
      <c r="R245" s="167">
        <f t="shared" si="50"/>
        <v>10.218999999999999</v>
      </c>
      <c r="S245" s="327">
        <f t="shared" si="51"/>
        <v>1.0000236794124746</v>
      </c>
    </row>
    <row r="246" spans="1:19" ht="15" customHeight="1" x14ac:dyDescent="0.2">
      <c r="R246" s="168">
        <f t="shared" si="50"/>
        <v>22.486000000000001</v>
      </c>
      <c r="S246" s="327">
        <f t="shared" si="51"/>
        <v>1.0000236794124742</v>
      </c>
    </row>
    <row r="247" spans="1:19" ht="15" customHeight="1" x14ac:dyDescent="0.2">
      <c r="F247" s="41"/>
      <c r="G247" s="41"/>
      <c r="H247" s="41"/>
      <c r="I247" s="41"/>
      <c r="J247" s="41"/>
      <c r="K247" s="41"/>
      <c r="L247" s="41"/>
      <c r="M247" s="41"/>
      <c r="N247" s="41"/>
      <c r="O247" s="41"/>
      <c r="P247" s="41"/>
      <c r="R247" s="168">
        <f t="shared" si="50"/>
        <v>45.093000000000004</v>
      </c>
      <c r="S247" s="327">
        <f t="shared" si="51"/>
        <v>1.0000236794124726</v>
      </c>
    </row>
    <row r="248" spans="1:19" ht="15" customHeight="1" x14ac:dyDescent="0.2">
      <c r="B248" s="90"/>
      <c r="R248" s="168">
        <f t="shared" si="50"/>
        <v>62.058</v>
      </c>
      <c r="S248" s="327">
        <f t="shared" si="51"/>
        <v>1.0000236794124742</v>
      </c>
    </row>
    <row r="249" spans="1:19" ht="15" customHeight="1" x14ac:dyDescent="0.2">
      <c r="A249" s="90" t="s">
        <v>95</v>
      </c>
      <c r="B249" s="64" t="s">
        <v>178</v>
      </c>
      <c r="R249" s="168">
        <f t="shared" si="50"/>
        <v>77.894999999999996</v>
      </c>
      <c r="S249" s="327">
        <f t="shared" si="51"/>
        <v>1.0000236794124739</v>
      </c>
    </row>
    <row r="250" spans="1:19" ht="15" customHeight="1" x14ac:dyDescent="0.2">
      <c r="R250" s="167">
        <f t="shared" si="50"/>
        <v>92.426000000000002</v>
      </c>
      <c r="S250" s="327">
        <f t="shared" si="51"/>
        <v>1.0000236794124731</v>
      </c>
    </row>
    <row r="251" spans="1:19" ht="15" customHeight="1" x14ac:dyDescent="0.2">
      <c r="B251" s="90"/>
    </row>
    <row r="252" spans="1:19" ht="15" customHeight="1" x14ac:dyDescent="0.2">
      <c r="B252" s="64"/>
      <c r="J252" s="64" t="s">
        <v>88</v>
      </c>
    </row>
    <row r="253" spans="1:19" ht="15" customHeight="1" x14ac:dyDescent="0.2">
      <c r="B253" s="90"/>
      <c r="H253" s="502" t="s">
        <v>373</v>
      </c>
    </row>
    <row r="254" spans="1:19" ht="15" customHeight="1" x14ac:dyDescent="0.2">
      <c r="F254" s="117" t="s">
        <v>56</v>
      </c>
      <c r="L254" s="164" t="s">
        <v>90</v>
      </c>
    </row>
    <row r="255" spans="1:19" ht="15" customHeight="1" x14ac:dyDescent="0.2">
      <c r="F255" s="117" t="s">
        <v>35</v>
      </c>
      <c r="H255" s="173" t="s">
        <v>33</v>
      </c>
      <c r="L255" s="65">
        <v>1</v>
      </c>
      <c r="M255" s="52" t="s">
        <v>12</v>
      </c>
      <c r="N255" s="124" t="s">
        <v>27</v>
      </c>
      <c r="O255" s="181" t="s">
        <v>35</v>
      </c>
      <c r="Q255" s="311" t="s">
        <v>313</v>
      </c>
    </row>
    <row r="256" spans="1:19" ht="15" customHeight="1" x14ac:dyDescent="0.2">
      <c r="B256" s="269">
        <f>D205</f>
        <v>2.52</v>
      </c>
      <c r="C256" s="78" t="s">
        <v>3</v>
      </c>
      <c r="D256" s="10"/>
      <c r="E256" s="3" t="s">
        <v>2</v>
      </c>
      <c r="F256" s="117" t="s">
        <v>72</v>
      </c>
      <c r="G256" s="29" t="s">
        <v>20</v>
      </c>
      <c r="H256" s="4" t="s">
        <v>25</v>
      </c>
      <c r="J256" s="38" t="s">
        <v>60</v>
      </c>
      <c r="K256" s="3" t="s">
        <v>2</v>
      </c>
      <c r="L256" s="548" t="s">
        <v>25</v>
      </c>
      <c r="M256" s="21" t="s">
        <v>13</v>
      </c>
      <c r="N256" s="125" t="s">
        <v>61</v>
      </c>
      <c r="O256" s="21" t="s">
        <v>19</v>
      </c>
      <c r="Q256" s="311" t="s">
        <v>53</v>
      </c>
    </row>
    <row r="257" spans="2:18" ht="15" customHeight="1" x14ac:dyDescent="0.2">
      <c r="B257" s="443">
        <f>D206</f>
        <v>4.6500000000000004</v>
      </c>
      <c r="C257" s="1" t="s">
        <v>0</v>
      </c>
      <c r="D257" s="22"/>
      <c r="E257" s="71">
        <v>1</v>
      </c>
      <c r="F257" s="166">
        <f t="shared" ref="F257:F266" si="52">G185</f>
        <v>1.518</v>
      </c>
      <c r="G257" s="49">
        <f>F257/E257</f>
        <v>1.518</v>
      </c>
      <c r="H257" s="178">
        <f>SQRT(12*32.2*G257^2/(4*$B$258*($B$257*56)*$B$256^2))</f>
        <v>3.979512206622815E-2</v>
      </c>
      <c r="I257" s="718"/>
      <c r="J257" s="178">
        <v>3.979512206622815E-2</v>
      </c>
      <c r="K257" s="544">
        <v>1</v>
      </c>
      <c r="L257" s="549">
        <f>J257*$L$255</f>
        <v>3.979512206622815E-2</v>
      </c>
      <c r="M257" s="5">
        <f>(B257*2.20462*25.4*12)</f>
        <v>3124.6520184000001</v>
      </c>
      <c r="N257" s="74">
        <f>L257*B$256*SQRT(4*B$258*M$257/32.2)/12</f>
        <v>1.5179640555030092</v>
      </c>
      <c r="O257" s="218">
        <f>K257*N257</f>
        <v>1.5179640555030092</v>
      </c>
      <c r="Q257" s="218">
        <f t="shared" ref="Q257:Q266" si="53">E157</f>
        <v>1.518</v>
      </c>
      <c r="R257" s="327">
        <f>Q257/O257</f>
        <v>1.0000236794124739</v>
      </c>
    </row>
    <row r="258" spans="2:18" ht="15" customHeight="1" x14ac:dyDescent="0.2">
      <c r="B258" s="271">
        <f>D207</f>
        <v>85</v>
      </c>
      <c r="C258" s="77" t="s">
        <v>1</v>
      </c>
      <c r="D258" s="17"/>
      <c r="E258" s="70">
        <v>2</v>
      </c>
      <c r="F258" s="167">
        <f t="shared" si="52"/>
        <v>3.452</v>
      </c>
      <c r="G258" s="48">
        <f t="shared" ref="G258:G266" si="54">F258/E258</f>
        <v>1.726</v>
      </c>
      <c r="H258" s="179">
        <f t="shared" ref="H258:H266" si="55">SQRT(12*32.2*G258^2/(4*$B$258*($B$257*56)*$B$256^2))</f>
        <v>4.5247945116146111E-2</v>
      </c>
      <c r="I258" s="718"/>
      <c r="J258" s="179">
        <v>4.5247945116146111E-2</v>
      </c>
      <c r="K258" s="545">
        <v>2</v>
      </c>
      <c r="L258" s="550">
        <f t="shared" ref="L258:L266" si="56">J258*$L$255</f>
        <v>4.5247945116146111E-2</v>
      </c>
      <c r="N258" s="73">
        <f t="shared" ref="N258:N266" si="57">L258*B$256*SQRT(4*B$258*M$257/32.2)/12</f>
        <v>1.7259591303018407</v>
      </c>
      <c r="O258" s="219">
        <f t="shared" ref="O258" si="58">K258*N258</f>
        <v>3.4519182606036813</v>
      </c>
      <c r="Q258" s="219">
        <f t="shared" si="53"/>
        <v>3.452</v>
      </c>
      <c r="R258" s="327">
        <f t="shared" ref="R258:R266" si="59">Q258/O258</f>
        <v>1.0000236794124737</v>
      </c>
    </row>
    <row r="259" spans="2:18" ht="15" customHeight="1" x14ac:dyDescent="0.2">
      <c r="E259" s="69">
        <v>3</v>
      </c>
      <c r="F259" s="168">
        <f t="shared" si="52"/>
        <v>5.5519999999999996</v>
      </c>
      <c r="G259" s="47">
        <f t="shared" si="54"/>
        <v>1.8506666666666665</v>
      </c>
      <c r="H259" s="180">
        <f t="shared" si="55"/>
        <v>4.85161435467059E-2</v>
      </c>
      <c r="I259" s="718"/>
      <c r="J259" s="180">
        <v>4.85161435467059E-2</v>
      </c>
      <c r="K259" s="546">
        <v>3</v>
      </c>
      <c r="L259" s="551">
        <f t="shared" si="56"/>
        <v>4.85161435467059E-2</v>
      </c>
      <c r="N259" s="72">
        <f t="shared" si="57"/>
        <v>1.8506228450049858</v>
      </c>
      <c r="O259" s="220">
        <f>K259*N259</f>
        <v>5.5518685350149575</v>
      </c>
      <c r="Q259" s="220">
        <f t="shared" si="53"/>
        <v>5.5519999999999996</v>
      </c>
      <c r="R259" s="327">
        <f t="shared" si="59"/>
        <v>1.0000236794124739</v>
      </c>
    </row>
    <row r="260" spans="2:18" ht="15" customHeight="1" x14ac:dyDescent="0.2">
      <c r="E260" s="69">
        <v>4</v>
      </c>
      <c r="F260" s="168">
        <f t="shared" si="52"/>
        <v>7.8719999999999999</v>
      </c>
      <c r="G260" s="47">
        <f t="shared" si="54"/>
        <v>1.968</v>
      </c>
      <c r="H260" s="180">
        <f t="shared" si="55"/>
        <v>5.1592095010762187E-2</v>
      </c>
      <c r="I260" s="718"/>
      <c r="J260" s="180">
        <v>5.1592095010762187E-2</v>
      </c>
      <c r="K260" s="546">
        <v>4</v>
      </c>
      <c r="L260" s="551">
        <f t="shared" si="56"/>
        <v>5.1592095010762187E-2</v>
      </c>
      <c r="N260" s="72">
        <f t="shared" si="57"/>
        <v>1.9679534000197112</v>
      </c>
      <c r="O260" s="220">
        <f t="shared" ref="O260:O266" si="60">K260*N260</f>
        <v>7.8718136000788448</v>
      </c>
      <c r="Q260" s="220">
        <f t="shared" si="53"/>
        <v>7.8719999999999999</v>
      </c>
      <c r="R260" s="327">
        <f t="shared" si="59"/>
        <v>1.0000236794124739</v>
      </c>
    </row>
    <row r="261" spans="2:18" ht="15" customHeight="1" x14ac:dyDescent="0.2">
      <c r="E261" s="70">
        <v>5</v>
      </c>
      <c r="F261" s="167">
        <f t="shared" si="52"/>
        <v>10.218999999999999</v>
      </c>
      <c r="G261" s="48">
        <f t="shared" si="54"/>
        <v>2.0438000000000001</v>
      </c>
      <c r="H261" s="179">
        <f t="shared" si="55"/>
        <v>5.3579229564530366E-2</v>
      </c>
      <c r="I261" s="718"/>
      <c r="J261" s="179">
        <v>5.3579229564530366E-2</v>
      </c>
      <c r="K261" s="545">
        <v>5</v>
      </c>
      <c r="L261" s="550">
        <f t="shared" si="56"/>
        <v>5.3579229564530366E-2</v>
      </c>
      <c r="N261" s="73">
        <f t="shared" si="57"/>
        <v>2.0437516051627469</v>
      </c>
      <c r="O261" s="219">
        <f t="shared" si="60"/>
        <v>10.218758025813734</v>
      </c>
      <c r="Q261" s="219">
        <f t="shared" si="53"/>
        <v>10.218999999999999</v>
      </c>
      <c r="R261" s="327">
        <f t="shared" si="59"/>
        <v>1.0000236794124739</v>
      </c>
    </row>
    <row r="262" spans="2:18" ht="15" customHeight="1" x14ac:dyDescent="0.2">
      <c r="E262" s="69">
        <v>10</v>
      </c>
      <c r="F262" s="168">
        <f t="shared" si="52"/>
        <v>22.486000000000001</v>
      </c>
      <c r="G262" s="47">
        <f t="shared" si="54"/>
        <v>2.2486000000000002</v>
      </c>
      <c r="H262" s="180">
        <f t="shared" si="55"/>
        <v>5.8948163029064971E-2</v>
      </c>
      <c r="I262" s="718"/>
      <c r="J262" s="180">
        <v>5.8948163029064971E-2</v>
      </c>
      <c r="K262" s="547">
        <v>10</v>
      </c>
      <c r="L262" s="551">
        <f t="shared" si="56"/>
        <v>5.8948163029064971E-2</v>
      </c>
      <c r="M262" s="41"/>
      <c r="N262" s="76">
        <f t="shared" si="57"/>
        <v>2.2485467557339045</v>
      </c>
      <c r="O262" s="221">
        <f t="shared" si="60"/>
        <v>22.485467557339046</v>
      </c>
      <c r="Q262" s="221">
        <f t="shared" si="53"/>
        <v>22.486000000000001</v>
      </c>
      <c r="R262" s="327">
        <f t="shared" si="59"/>
        <v>1.0000236794124737</v>
      </c>
    </row>
    <row r="263" spans="2:18" ht="15" customHeight="1" x14ac:dyDescent="0.2">
      <c r="E263" s="69">
        <v>20</v>
      </c>
      <c r="F263" s="168">
        <f t="shared" si="52"/>
        <v>45.093000000000004</v>
      </c>
      <c r="G263" s="47">
        <f t="shared" si="54"/>
        <v>2.2546500000000003</v>
      </c>
      <c r="H263" s="180">
        <f t="shared" si="55"/>
        <v>5.9106766776430376E-2</v>
      </c>
      <c r="I263" s="718"/>
      <c r="J263" s="180">
        <v>5.9106766776430376E-2</v>
      </c>
      <c r="K263" s="546">
        <v>20</v>
      </c>
      <c r="L263" s="551">
        <f t="shared" si="56"/>
        <v>5.9106766776430376E-2</v>
      </c>
      <c r="N263" s="72">
        <f t="shared" si="57"/>
        <v>2.2545966124768508</v>
      </c>
      <c r="O263" s="220">
        <f t="shared" si="60"/>
        <v>45.091932249537017</v>
      </c>
      <c r="Q263" s="220">
        <f t="shared" si="53"/>
        <v>45.093000000000004</v>
      </c>
      <c r="R263" s="327">
        <f t="shared" si="59"/>
        <v>1.0000236794124739</v>
      </c>
    </row>
    <row r="264" spans="2:18" ht="15" customHeight="1" x14ac:dyDescent="0.2">
      <c r="E264" s="69">
        <v>30</v>
      </c>
      <c r="F264" s="168">
        <f t="shared" si="52"/>
        <v>62.058</v>
      </c>
      <c r="G264" s="47">
        <f t="shared" si="54"/>
        <v>2.0686</v>
      </c>
      <c r="H264" s="180">
        <f t="shared" si="55"/>
        <v>5.4229373851251352E-2</v>
      </c>
      <c r="I264" s="718"/>
      <c r="J264" s="180">
        <v>5.4229373851251352E-2</v>
      </c>
      <c r="K264" s="546">
        <v>30</v>
      </c>
      <c r="L264" s="551">
        <f t="shared" si="56"/>
        <v>5.4229373851251352E-2</v>
      </c>
      <c r="N264" s="72">
        <f t="shared" si="57"/>
        <v>2.0685510179272231</v>
      </c>
      <c r="O264" s="220">
        <f t="shared" si="60"/>
        <v>62.056530537816691</v>
      </c>
      <c r="Q264" s="220">
        <f t="shared" si="53"/>
        <v>62.058</v>
      </c>
      <c r="R264" s="327">
        <f t="shared" si="59"/>
        <v>1.0000236794124739</v>
      </c>
    </row>
    <row r="265" spans="2:18" ht="15" customHeight="1" x14ac:dyDescent="0.2">
      <c r="E265" s="69">
        <v>40</v>
      </c>
      <c r="F265" s="168">
        <f t="shared" si="52"/>
        <v>77.894999999999996</v>
      </c>
      <c r="G265" s="47">
        <f t="shared" si="54"/>
        <v>1.9473749999999999</v>
      </c>
      <c r="H265" s="180">
        <f t="shared" si="55"/>
        <v>5.1051400417471041E-2</v>
      </c>
      <c r="I265" s="718"/>
      <c r="J265" s="180">
        <v>5.1051400417471041E-2</v>
      </c>
      <c r="K265" s="546">
        <v>40</v>
      </c>
      <c r="L265" s="551">
        <f t="shared" si="56"/>
        <v>5.1051400417471041E-2</v>
      </c>
      <c r="N265" s="72">
        <f t="shared" si="57"/>
        <v>1.9473288883960291</v>
      </c>
      <c r="O265" s="220">
        <f t="shared" si="60"/>
        <v>77.89315553584116</v>
      </c>
      <c r="Q265" s="220">
        <f t="shared" si="53"/>
        <v>77.894999999999996</v>
      </c>
      <c r="R265" s="327">
        <f t="shared" si="59"/>
        <v>1.0000236794124739</v>
      </c>
    </row>
    <row r="266" spans="2:18" ht="15" customHeight="1" thickBot="1" x14ac:dyDescent="0.25">
      <c r="E266" s="70">
        <v>50</v>
      </c>
      <c r="F266" s="167">
        <f t="shared" si="52"/>
        <v>92.426000000000002</v>
      </c>
      <c r="G266" s="48">
        <f t="shared" si="54"/>
        <v>1.8485199999999999</v>
      </c>
      <c r="H266" s="179">
        <f t="shared" si="55"/>
        <v>4.8459867616511242E-2</v>
      </c>
      <c r="I266" s="718"/>
      <c r="J266" s="179">
        <v>4.8459867616511242E-2</v>
      </c>
      <c r="K266" s="555">
        <v>50</v>
      </c>
      <c r="L266" s="556">
        <f t="shared" si="56"/>
        <v>4.8459867616511242E-2</v>
      </c>
      <c r="N266" s="557">
        <f t="shared" si="57"/>
        <v>1.8484762291689212</v>
      </c>
      <c r="O266" s="219">
        <f t="shared" si="60"/>
        <v>92.423811458446053</v>
      </c>
      <c r="Q266" s="219">
        <f t="shared" si="53"/>
        <v>92.426000000000002</v>
      </c>
      <c r="R266" s="327">
        <f t="shared" si="59"/>
        <v>1.0000236794124739</v>
      </c>
    </row>
    <row r="267" spans="2:18" ht="15" customHeight="1" x14ac:dyDescent="0.2">
      <c r="K267" s="560"/>
      <c r="L267" s="561"/>
      <c r="M267" s="565"/>
      <c r="N267" s="572"/>
    </row>
    <row r="268" spans="2:18" ht="15" customHeight="1" thickBot="1" x14ac:dyDescent="0.25">
      <c r="K268" s="568" t="s">
        <v>421</v>
      </c>
      <c r="L268" s="569"/>
      <c r="M268" s="573"/>
      <c r="N268" s="574"/>
      <c r="O268" s="37"/>
    </row>
    <row r="269" spans="2:18" ht="15" customHeight="1" x14ac:dyDescent="0.2">
      <c r="O269" s="37"/>
      <c r="P269" s="505" t="s">
        <v>376</v>
      </c>
    </row>
    <row r="270" spans="2:18" ht="15" customHeight="1" x14ac:dyDescent="0.2">
      <c r="O270" s="37"/>
    </row>
    <row r="271" spans="2:18" ht="15" customHeight="1" x14ac:dyDescent="0.2">
      <c r="O271" s="37"/>
    </row>
    <row r="272" spans="2:18" ht="15" customHeight="1" x14ac:dyDescent="0.2">
      <c r="O272" s="37"/>
    </row>
    <row r="273" spans="1:16" ht="15" customHeight="1" x14ac:dyDescent="0.2">
      <c r="A273" s="51"/>
      <c r="B273" s="9"/>
      <c r="C273" s="9"/>
      <c r="D273" s="9"/>
      <c r="E273" s="9"/>
      <c r="F273" s="9"/>
      <c r="G273" s="9"/>
      <c r="H273" s="9"/>
      <c r="I273" s="9"/>
      <c r="J273" s="9"/>
      <c r="K273" s="9"/>
      <c r="L273" s="9"/>
      <c r="M273" s="9"/>
      <c r="N273" s="9"/>
      <c r="O273" s="272"/>
      <c r="P273" s="10"/>
    </row>
    <row r="274" spans="1:16" ht="15" customHeight="1" x14ac:dyDescent="0.25">
      <c r="A274" s="35"/>
      <c r="B274" s="1"/>
      <c r="C274" s="1"/>
      <c r="D274" s="1"/>
      <c r="E274" s="1"/>
      <c r="F274" s="1"/>
      <c r="G274" s="1"/>
      <c r="H274" s="1"/>
      <c r="I274" s="1"/>
      <c r="J274" s="1"/>
      <c r="K274" s="1"/>
      <c r="L274" s="1"/>
      <c r="M274" s="1"/>
      <c r="N274" s="1"/>
      <c r="O274" s="334" t="s">
        <v>195</v>
      </c>
      <c r="P274" s="687" t="s">
        <v>456</v>
      </c>
    </row>
    <row r="275" spans="1:16" ht="15" customHeight="1" x14ac:dyDescent="0.2">
      <c r="A275" s="35"/>
      <c r="B275" s="1"/>
      <c r="C275" s="1"/>
      <c r="D275" s="1"/>
      <c r="E275" s="1"/>
      <c r="F275" s="1"/>
      <c r="G275" s="1"/>
      <c r="H275" s="1"/>
      <c r="I275" s="1"/>
      <c r="J275" s="1"/>
      <c r="K275" s="1"/>
      <c r="L275" s="1"/>
      <c r="M275" s="1"/>
      <c r="N275" s="1"/>
      <c r="O275" s="273"/>
      <c r="P275" s="22"/>
    </row>
    <row r="276" spans="1:16" ht="15" customHeight="1" x14ac:dyDescent="0.2">
      <c r="A276" s="274" t="s">
        <v>98</v>
      </c>
      <c r="B276" s="275" t="s">
        <v>183</v>
      </c>
      <c r="C276" s="1"/>
      <c r="D276" s="1"/>
      <c r="E276" s="1"/>
      <c r="F276" s="1"/>
      <c r="G276" s="1"/>
      <c r="H276" s="1"/>
      <c r="I276" s="1"/>
      <c r="J276" s="1"/>
      <c r="K276" s="276" t="s">
        <v>121</v>
      </c>
      <c r="L276" s="1"/>
      <c r="M276" s="1"/>
      <c r="N276" s="1"/>
      <c r="O276" s="330" t="s">
        <v>122</v>
      </c>
      <c r="P276" s="22"/>
    </row>
    <row r="277" spans="1:16" ht="15" customHeight="1" x14ac:dyDescent="0.2">
      <c r="A277" s="274"/>
      <c r="B277" s="275" t="str">
        <f>B9</f>
        <v>3304s</v>
      </c>
      <c r="C277" s="1"/>
      <c r="D277" s="1"/>
      <c r="E277" s="1"/>
      <c r="F277" s="1"/>
      <c r="G277" s="1"/>
      <c r="H277" s="1"/>
      <c r="I277" s="1"/>
      <c r="J277" s="1"/>
      <c r="K277" s="276"/>
      <c r="L277" s="1"/>
      <c r="M277" s="1"/>
      <c r="N277" s="1"/>
      <c r="O277" s="330"/>
      <c r="P277" s="22"/>
    </row>
    <row r="278" spans="1:16" ht="15" customHeight="1" x14ac:dyDescent="0.2">
      <c r="A278" s="274"/>
      <c r="B278" s="275" t="str">
        <f>B10</f>
        <v>18 SXF 350</v>
      </c>
      <c r="C278" s="1"/>
      <c r="E278" s="1" t="str">
        <f>B5</f>
        <v xml:space="preserve">  We will use the exact spring rate from the test because a good test should have decent r-zeta and r/c ratio.</v>
      </c>
      <c r="F278" s="1"/>
      <c r="G278" s="1"/>
      <c r="H278" s="1"/>
      <c r="I278" s="1"/>
      <c r="J278" s="1"/>
      <c r="K278" s="276"/>
      <c r="L278" s="1"/>
      <c r="M278" s="1"/>
      <c r="N278" s="1"/>
      <c r="O278" s="330"/>
      <c r="P278" s="22"/>
    </row>
    <row r="279" spans="1:16" ht="15" customHeight="1" x14ac:dyDescent="0.2">
      <c r="A279" s="274"/>
      <c r="B279" s="275" t="str">
        <f>B11</f>
        <v>Cody Harris</v>
      </c>
      <c r="C279" s="1"/>
      <c r="E279" s="1" t="str">
        <f>B6</f>
        <v xml:space="preserve">  We are removing calc gas (73c and 69c) and displaying linear gas force (77 lbs and 73 lbs) for 12sxf450-psh and 16sxf250-psh respectively.</v>
      </c>
      <c r="F279" s="1"/>
      <c r="G279" s="1"/>
      <c r="H279" s="1"/>
      <c r="I279" s="1"/>
      <c r="J279" s="1"/>
      <c r="K279" s="276"/>
      <c r="L279" s="1"/>
      <c r="M279" s="1"/>
      <c r="N279" s="1"/>
      <c r="O279" s="330"/>
      <c r="P279" s="22"/>
    </row>
    <row r="280" spans="1:16" ht="15" customHeight="1" x14ac:dyDescent="0.2">
      <c r="A280" s="274"/>
      <c r="B280" s="275" t="str">
        <f>B12</f>
        <v>16sxf250-psh</v>
      </c>
      <c r="C280" s="1"/>
      <c r="D280" s="275" t="str">
        <f>D12</f>
        <v>15 flsprs</v>
      </c>
      <c r="E280" s="1"/>
      <c r="F280" s="1"/>
      <c r="G280" s="1"/>
      <c r="H280" s="1"/>
      <c r="I280" s="1"/>
      <c r="J280" s="1"/>
      <c r="K280" s="276"/>
      <c r="L280" s="1"/>
      <c r="M280" s="1"/>
      <c r="N280" s="1"/>
      <c r="O280" s="330"/>
      <c r="P280" s="22"/>
    </row>
    <row r="281" spans="1:16" ht="15" customHeight="1" x14ac:dyDescent="0.2">
      <c r="A281" s="35"/>
      <c r="B281" s="275" t="str">
        <f>B13</f>
        <v>TRENDLINE</v>
      </c>
      <c r="C281" s="275" t="str">
        <f>C13</f>
        <v>v8</v>
      </c>
      <c r="D281" s="275" t="str">
        <f>D13</f>
        <v>DONE</v>
      </c>
      <c r="E281" s="1"/>
      <c r="F281" s="1"/>
      <c r="G281" s="1"/>
      <c r="H281" s="1"/>
      <c r="I281" s="1"/>
      <c r="J281" s="1"/>
      <c r="K281" s="276"/>
      <c r="L281" s="1"/>
      <c r="M281" s="1"/>
      <c r="N281" s="1"/>
      <c r="O281" s="330"/>
      <c r="P281" s="22"/>
    </row>
    <row r="282" spans="1:16" ht="15" customHeight="1" x14ac:dyDescent="0.2">
      <c r="A282" s="35"/>
      <c r="B282" s="275" t="s">
        <v>0</v>
      </c>
      <c r="C282" s="688">
        <f>D206</f>
        <v>4.6500000000000004</v>
      </c>
      <c r="D282" s="1"/>
      <c r="E282" s="1"/>
      <c r="F282" s="1"/>
      <c r="G282" s="1"/>
      <c r="H282" s="1"/>
      <c r="I282" s="1"/>
      <c r="J282" s="1"/>
      <c r="K282" s="1"/>
      <c r="L282" s="1"/>
      <c r="M282" s="1"/>
      <c r="N282" s="1"/>
      <c r="O282" s="1"/>
      <c r="P282" s="22"/>
    </row>
    <row r="283" spans="1:16" ht="15" customHeight="1" x14ac:dyDescent="0.2">
      <c r="A283" s="11"/>
      <c r="B283" s="442" t="s">
        <v>202</v>
      </c>
      <c r="C283" s="275"/>
      <c r="D283" s="1"/>
      <c r="E283" s="1"/>
      <c r="F283" s="1"/>
      <c r="G283" s="1"/>
      <c r="H283" s="1"/>
      <c r="I283" s="445" t="str">
        <f>IF($B$12="12sxf450-psh","calc gas force = 73c, linear = 77","calc gas force = 69c, linear = 73")</f>
        <v>calc gas force = 69c, linear = 73</v>
      </c>
      <c r="J283" s="445"/>
      <c r="K283" s="1"/>
      <c r="L283" s="1"/>
      <c r="M283" s="1"/>
      <c r="N283" s="1"/>
      <c r="O283" s="1"/>
      <c r="P283" s="22"/>
    </row>
    <row r="284" spans="1:16" ht="15" customHeight="1" x14ac:dyDescent="0.2">
      <c r="A284" s="35"/>
      <c r="B284" s="1"/>
      <c r="C284" s="1"/>
      <c r="D284" s="1"/>
      <c r="E284" s="1"/>
      <c r="F284" s="1"/>
      <c r="G284" s="1"/>
      <c r="H284" s="446" t="str">
        <f>J155</f>
        <v xml:space="preserve"> 5-8-13</v>
      </c>
      <c r="I284" s="1"/>
      <c r="J284" s="1"/>
      <c r="K284" s="1"/>
      <c r="L284" s="1"/>
      <c r="M284" s="1"/>
      <c r="N284" s="1"/>
      <c r="O284" s="1"/>
      <c r="P284" s="22"/>
    </row>
    <row r="285" spans="1:16" ht="15" customHeight="1" x14ac:dyDescent="0.2">
      <c r="A285" s="300" t="s">
        <v>151</v>
      </c>
      <c r="B285" s="448">
        <f>D206</f>
        <v>4.6500000000000004</v>
      </c>
      <c r="C285" s="449" t="s">
        <v>56</v>
      </c>
      <c r="D285" s="449" t="s">
        <v>56</v>
      </c>
      <c r="E285" s="449" t="s">
        <v>56</v>
      </c>
      <c r="F285" s="450" t="s">
        <v>33</v>
      </c>
      <c r="G285" s="183" t="s">
        <v>56</v>
      </c>
      <c r="H285" s="449" t="s">
        <v>47</v>
      </c>
      <c r="I285" s="449" t="s">
        <v>22</v>
      </c>
      <c r="J285" s="183" t="s">
        <v>22</v>
      </c>
      <c r="K285" s="451" t="s">
        <v>47</v>
      </c>
      <c r="L285" s="183" t="s">
        <v>40</v>
      </c>
      <c r="M285" s="183" t="s">
        <v>33</v>
      </c>
      <c r="N285" s="183" t="s">
        <v>35</v>
      </c>
      <c r="O285" s="1"/>
      <c r="P285" s="467" t="s">
        <v>40</v>
      </c>
    </row>
    <row r="286" spans="1:16" ht="15" customHeight="1" x14ac:dyDescent="0.2">
      <c r="A286" s="35"/>
      <c r="B286" s="449"/>
      <c r="C286" s="452" t="s">
        <v>40</v>
      </c>
      <c r="D286" s="449" t="s">
        <v>41</v>
      </c>
      <c r="E286" s="183" t="s">
        <v>32</v>
      </c>
      <c r="F286" s="453" t="s">
        <v>50</v>
      </c>
      <c r="G286" s="183" t="s">
        <v>33</v>
      </c>
      <c r="H286" s="449" t="s">
        <v>35</v>
      </c>
      <c r="I286" s="449" t="s">
        <v>37</v>
      </c>
      <c r="J286" s="183" t="s">
        <v>38</v>
      </c>
      <c r="K286" s="451" t="s">
        <v>28</v>
      </c>
      <c r="L286" s="183" t="s">
        <v>39</v>
      </c>
      <c r="M286" s="183" t="s">
        <v>39</v>
      </c>
      <c r="N286" s="183" t="s">
        <v>39</v>
      </c>
      <c r="O286" s="1"/>
      <c r="P286" s="467" t="s">
        <v>39</v>
      </c>
    </row>
    <row r="287" spans="1:16" ht="15" customHeight="1" x14ac:dyDescent="0.2">
      <c r="A287" s="35"/>
      <c r="B287" s="449" t="s">
        <v>21</v>
      </c>
      <c r="C287" s="311" t="s">
        <v>53</v>
      </c>
      <c r="D287" s="311" t="s">
        <v>53</v>
      </c>
      <c r="E287" s="311" t="s">
        <v>53</v>
      </c>
      <c r="F287" s="454" t="s">
        <v>54</v>
      </c>
      <c r="G287" s="311" t="s">
        <v>53</v>
      </c>
      <c r="H287" s="311" t="s">
        <v>53</v>
      </c>
      <c r="I287" s="311" t="s">
        <v>53</v>
      </c>
      <c r="J287" s="311" t="s">
        <v>53</v>
      </c>
      <c r="K287" s="455" t="s">
        <v>118</v>
      </c>
      <c r="L287" s="311" t="s">
        <v>53</v>
      </c>
      <c r="M287" s="311" t="s">
        <v>53</v>
      </c>
      <c r="N287" s="311" t="s">
        <v>53</v>
      </c>
      <c r="O287" s="1"/>
      <c r="P287" s="467" t="s">
        <v>51</v>
      </c>
    </row>
    <row r="288" spans="1:16" ht="15" customHeight="1" x14ac:dyDescent="0.2">
      <c r="A288" s="35"/>
      <c r="B288" s="449">
        <v>1</v>
      </c>
      <c r="C288" s="456">
        <f t="shared" ref="C288:E297" si="61">C185</f>
        <v>49.415122448979588</v>
      </c>
      <c r="D288" s="456">
        <f t="shared" si="61"/>
        <v>118.41512244897959</v>
      </c>
      <c r="E288" s="456">
        <f t="shared" si="61"/>
        <v>31.415122448979595</v>
      </c>
      <c r="F288" s="456">
        <f>G288+J288</f>
        <v>43.897122448979594</v>
      </c>
      <c r="G288" s="456">
        <f t="shared" ref="G288:H297" si="62">F185</f>
        <v>29.897122448979594</v>
      </c>
      <c r="H288" s="457">
        <f t="shared" si="62"/>
        <v>1.518</v>
      </c>
      <c r="I288" s="458">
        <f>M185</f>
        <v>73</v>
      </c>
      <c r="J288" s="456">
        <f t="shared" ref="J288:J297" si="63">L185</f>
        <v>14</v>
      </c>
      <c r="K288" s="735">
        <f>H288/E288</f>
        <v>4.8320677484715857E-2</v>
      </c>
      <c r="L288" s="584">
        <f t="shared" ref="L288:L297" si="64">F205</f>
        <v>1.295472592151149</v>
      </c>
      <c r="M288" s="584">
        <f t="shared" ref="M288:M297" si="65">H227</f>
        <v>0.78376787700007433</v>
      </c>
      <c r="N288" s="584">
        <f t="shared" ref="N288:N297" si="66">H257</f>
        <v>3.979512206622815E-2</v>
      </c>
      <c r="O288" s="1"/>
      <c r="P288" s="468">
        <f>L288</f>
        <v>1.295472592151149</v>
      </c>
    </row>
    <row r="289" spans="1:16" ht="15" customHeight="1" x14ac:dyDescent="0.2">
      <c r="A289" s="35"/>
      <c r="B289" s="449">
        <v>2</v>
      </c>
      <c r="C289" s="127">
        <f t="shared" si="61"/>
        <v>78.969224489795891</v>
      </c>
      <c r="D289" s="127">
        <f t="shared" si="61"/>
        <v>147.96922448979589</v>
      </c>
      <c r="E289" s="127">
        <f t="shared" si="61"/>
        <v>60.969224489795891</v>
      </c>
      <c r="F289" s="127">
        <f t="shared" ref="F289:F297" si="67">G289+J289</f>
        <v>71.517224489795893</v>
      </c>
      <c r="G289" s="127">
        <f t="shared" si="62"/>
        <v>57.517224489795893</v>
      </c>
      <c r="H289" s="460">
        <f t="shared" si="62"/>
        <v>3.452</v>
      </c>
      <c r="I289" s="461">
        <f t="shared" ref="I289:I297" si="68">M186</f>
        <v>73</v>
      </c>
      <c r="J289" s="127">
        <f t="shared" si="63"/>
        <v>14</v>
      </c>
      <c r="K289" s="736">
        <f t="shared" ref="K289:K297" si="69">H289/E289</f>
        <v>5.6618729020864345E-2</v>
      </c>
      <c r="L289" s="585">
        <f t="shared" si="64"/>
        <v>1.0351331827173726</v>
      </c>
      <c r="M289" s="585">
        <f t="shared" si="65"/>
        <v>0.75392126794534742</v>
      </c>
      <c r="N289" s="585">
        <f t="shared" si="66"/>
        <v>4.5247945116146111E-2</v>
      </c>
      <c r="O289" s="1"/>
      <c r="P289" s="469">
        <f t="shared" ref="P289:P297" si="70">L289</f>
        <v>1.0351331827173726</v>
      </c>
    </row>
    <row r="290" spans="1:16" ht="15" customHeight="1" x14ac:dyDescent="0.2">
      <c r="A290" s="35"/>
      <c r="B290" s="449">
        <v>3</v>
      </c>
      <c r="C290" s="463">
        <f t="shared" si="61"/>
        <v>103.02616326530611</v>
      </c>
      <c r="D290" s="463">
        <f t="shared" si="61"/>
        <v>172.02616326530611</v>
      </c>
      <c r="E290" s="463">
        <f t="shared" si="61"/>
        <v>85.02616326530611</v>
      </c>
      <c r="F290" s="463">
        <f t="shared" si="67"/>
        <v>93.474163265306117</v>
      </c>
      <c r="G290" s="463">
        <f t="shared" si="62"/>
        <v>79.474163265306117</v>
      </c>
      <c r="H290" s="464">
        <f t="shared" si="62"/>
        <v>5.5519999999999996</v>
      </c>
      <c r="I290" s="465">
        <f t="shared" si="68"/>
        <v>73</v>
      </c>
      <c r="J290" s="463">
        <f t="shared" si="63"/>
        <v>14</v>
      </c>
      <c r="K290" s="737">
        <f t="shared" si="69"/>
        <v>6.5297548269656266E-2</v>
      </c>
      <c r="L290" s="586">
        <f t="shared" si="64"/>
        <v>0.90031528926188509</v>
      </c>
      <c r="M290" s="586">
        <f t="shared" si="65"/>
        <v>0.69448485468910892</v>
      </c>
      <c r="N290" s="586">
        <f t="shared" si="66"/>
        <v>4.85161435467059E-2</v>
      </c>
      <c r="O290" s="1"/>
      <c r="P290" s="470">
        <f t="shared" si="70"/>
        <v>0.90031528926188509</v>
      </c>
    </row>
    <row r="291" spans="1:16" ht="15" customHeight="1" x14ac:dyDescent="0.2">
      <c r="A291" s="35"/>
      <c r="B291" s="449">
        <v>4</v>
      </c>
      <c r="C291" s="463">
        <f t="shared" si="61"/>
        <v>123.38922448979594</v>
      </c>
      <c r="D291" s="463">
        <f t="shared" si="61"/>
        <v>192.38922448979594</v>
      </c>
      <c r="E291" s="463">
        <f t="shared" si="61"/>
        <v>105.38922448979595</v>
      </c>
      <c r="F291" s="463">
        <f t="shared" si="67"/>
        <v>111.51722448979595</v>
      </c>
      <c r="G291" s="463">
        <f t="shared" si="62"/>
        <v>97.51722448979595</v>
      </c>
      <c r="H291" s="464">
        <f t="shared" si="62"/>
        <v>7.8719999999999999</v>
      </c>
      <c r="I291" s="465">
        <f t="shared" si="68"/>
        <v>73</v>
      </c>
      <c r="J291" s="463">
        <f t="shared" si="63"/>
        <v>14</v>
      </c>
      <c r="K291" s="737">
        <f t="shared" si="69"/>
        <v>7.4694543375847564E-2</v>
      </c>
      <c r="L291" s="586">
        <f t="shared" si="64"/>
        <v>0.80869656175777016</v>
      </c>
      <c r="M291" s="586">
        <f t="shared" si="65"/>
        <v>0.63911558829565274</v>
      </c>
      <c r="N291" s="586">
        <f t="shared" si="66"/>
        <v>5.1592095010762187E-2</v>
      </c>
      <c r="O291" s="1"/>
      <c r="P291" s="470">
        <f t="shared" si="70"/>
        <v>0.80869656175777016</v>
      </c>
    </row>
    <row r="292" spans="1:16" ht="15" customHeight="1" x14ac:dyDescent="0.2">
      <c r="A292" s="35"/>
      <c r="B292" s="449">
        <v>5</v>
      </c>
      <c r="C292" s="127">
        <f t="shared" si="61"/>
        <v>141.61469387755108</v>
      </c>
      <c r="D292" s="127">
        <f t="shared" si="61"/>
        <v>210.61469387755108</v>
      </c>
      <c r="E292" s="127">
        <f t="shared" si="61"/>
        <v>123.61469387755106</v>
      </c>
      <c r="F292" s="127">
        <f t="shared" si="67"/>
        <v>127.39569387755107</v>
      </c>
      <c r="G292" s="127">
        <f t="shared" si="62"/>
        <v>113.39569387755107</v>
      </c>
      <c r="H292" s="460">
        <f t="shared" si="62"/>
        <v>10.218999999999999</v>
      </c>
      <c r="I292" s="461">
        <f t="shared" si="68"/>
        <v>73</v>
      </c>
      <c r="J292" s="127">
        <f t="shared" si="63"/>
        <v>14</v>
      </c>
      <c r="K292" s="736">
        <f t="shared" si="69"/>
        <v>8.266816572892724E-2</v>
      </c>
      <c r="L292" s="585">
        <f t="shared" si="64"/>
        <v>0.74251745405937342</v>
      </c>
      <c r="M292" s="585">
        <f t="shared" si="65"/>
        <v>0.59454485897783727</v>
      </c>
      <c r="N292" s="585">
        <f t="shared" si="66"/>
        <v>5.3579229564530366E-2</v>
      </c>
      <c r="O292" s="1"/>
      <c r="P292" s="469">
        <f t="shared" si="70"/>
        <v>0.74251745405937342</v>
      </c>
    </row>
    <row r="293" spans="1:16" ht="15" customHeight="1" x14ac:dyDescent="0.2">
      <c r="A293" s="35"/>
      <c r="B293" s="449">
        <v>10</v>
      </c>
      <c r="C293" s="463">
        <f t="shared" si="61"/>
        <v>222.40314285714288</v>
      </c>
      <c r="D293" s="463">
        <f t="shared" si="61"/>
        <v>291.40314285714288</v>
      </c>
      <c r="E293" s="463">
        <f t="shared" si="61"/>
        <v>204.40314285714288</v>
      </c>
      <c r="F293" s="463">
        <f t="shared" si="67"/>
        <v>195.91714285714289</v>
      </c>
      <c r="G293" s="463">
        <f t="shared" si="62"/>
        <v>181.91714285714289</v>
      </c>
      <c r="H293" s="464">
        <f t="shared" si="62"/>
        <v>22.486000000000001</v>
      </c>
      <c r="I293" s="465">
        <f t="shared" si="68"/>
        <v>73</v>
      </c>
      <c r="J293" s="463">
        <f t="shared" si="63"/>
        <v>14</v>
      </c>
      <c r="K293" s="710">
        <f t="shared" si="69"/>
        <v>0.11000809324989411</v>
      </c>
      <c r="L293" s="586">
        <f t="shared" si="64"/>
        <v>0.58305466363496727</v>
      </c>
      <c r="M293" s="586">
        <f t="shared" si="65"/>
        <v>0.47690480276281072</v>
      </c>
      <c r="N293" s="586">
        <f t="shared" si="66"/>
        <v>5.8948163029064971E-2</v>
      </c>
      <c r="O293" s="1"/>
      <c r="P293" s="470">
        <f t="shared" si="70"/>
        <v>0.58305466363496727</v>
      </c>
    </row>
    <row r="294" spans="1:16" ht="15" customHeight="1" x14ac:dyDescent="0.2">
      <c r="A294" s="35"/>
      <c r="B294" s="449">
        <v>20</v>
      </c>
      <c r="C294" s="463">
        <f t="shared" si="61"/>
        <v>364.92442857142868</v>
      </c>
      <c r="D294" s="463">
        <f t="shared" si="61"/>
        <v>433.92442857142868</v>
      </c>
      <c r="E294" s="463">
        <f t="shared" si="61"/>
        <v>346.92442857142868</v>
      </c>
      <c r="F294" s="463">
        <f t="shared" si="67"/>
        <v>315.83142857142866</v>
      </c>
      <c r="G294" s="463">
        <f t="shared" si="62"/>
        <v>301.83142857142866</v>
      </c>
      <c r="H294" s="464">
        <f t="shared" si="62"/>
        <v>45.093000000000004</v>
      </c>
      <c r="I294" s="465">
        <f t="shared" si="68"/>
        <v>73</v>
      </c>
      <c r="J294" s="463">
        <f t="shared" si="63"/>
        <v>14</v>
      </c>
      <c r="K294" s="710">
        <f t="shared" si="69"/>
        <v>0.12997931620348768</v>
      </c>
      <c r="L294" s="586">
        <f t="shared" si="64"/>
        <v>0.47834506117920961</v>
      </c>
      <c r="M294" s="586">
        <f t="shared" si="65"/>
        <v>0.39563302185191129</v>
      </c>
      <c r="N294" s="586">
        <f t="shared" si="66"/>
        <v>5.9106766776430376E-2</v>
      </c>
      <c r="O294" s="1"/>
      <c r="P294" s="470">
        <f t="shared" si="70"/>
        <v>0.47834506117920961</v>
      </c>
    </row>
    <row r="295" spans="1:16" ht="15" customHeight="1" x14ac:dyDescent="0.2">
      <c r="A295" s="35"/>
      <c r="B295" s="449">
        <v>30</v>
      </c>
      <c r="C295" s="463">
        <f t="shared" si="61"/>
        <v>495.46085714285721</v>
      </c>
      <c r="D295" s="463">
        <f t="shared" si="61"/>
        <v>564.46085714285721</v>
      </c>
      <c r="E295" s="463">
        <f t="shared" si="61"/>
        <v>477.46085714285721</v>
      </c>
      <c r="F295" s="463">
        <f t="shared" si="67"/>
        <v>429.40285714285721</v>
      </c>
      <c r="G295" s="463">
        <f t="shared" si="62"/>
        <v>415.40285714285721</v>
      </c>
      <c r="H295" s="464">
        <f t="shared" si="62"/>
        <v>62.058</v>
      </c>
      <c r="I295" s="465">
        <f t="shared" si="68"/>
        <v>73</v>
      </c>
      <c r="J295" s="463">
        <f t="shared" si="63"/>
        <v>14</v>
      </c>
      <c r="K295" s="710">
        <f t="shared" si="69"/>
        <v>0.1299750525547943</v>
      </c>
      <c r="L295" s="586">
        <f t="shared" si="64"/>
        <v>0.43296864677744112</v>
      </c>
      <c r="M295" s="586">
        <f t="shared" si="65"/>
        <v>0.3629997234664018</v>
      </c>
      <c r="N295" s="586">
        <f t="shared" si="66"/>
        <v>5.4229373851251352E-2</v>
      </c>
      <c r="O295" s="1"/>
      <c r="P295" s="470">
        <f t="shared" si="70"/>
        <v>0.43296864677744112</v>
      </c>
    </row>
    <row r="296" spans="1:16" ht="15" customHeight="1" x14ac:dyDescent="0.2">
      <c r="A296" s="35"/>
      <c r="B296" s="449">
        <v>40</v>
      </c>
      <c r="C296" s="463">
        <f t="shared" si="61"/>
        <v>618.32642857142844</v>
      </c>
      <c r="D296" s="463">
        <f t="shared" si="61"/>
        <v>687.32642857142844</v>
      </c>
      <c r="E296" s="463">
        <f t="shared" si="61"/>
        <v>599.32642857142844</v>
      </c>
      <c r="F296" s="463">
        <f t="shared" si="67"/>
        <v>535.43142857142846</v>
      </c>
      <c r="G296" s="463">
        <f t="shared" si="62"/>
        <v>521.43142857142846</v>
      </c>
      <c r="H296" s="464">
        <f t="shared" si="62"/>
        <v>77.894999999999996</v>
      </c>
      <c r="I296" s="465">
        <f t="shared" si="68"/>
        <v>74</v>
      </c>
      <c r="J296" s="463">
        <f t="shared" si="63"/>
        <v>14</v>
      </c>
      <c r="K296" s="710">
        <f t="shared" si="69"/>
        <v>0.12997090781675144</v>
      </c>
      <c r="L296" s="586">
        <f t="shared" si="64"/>
        <v>0.40525293752132124</v>
      </c>
      <c r="M296" s="586">
        <f t="shared" si="65"/>
        <v>0.34173958084927075</v>
      </c>
      <c r="N296" s="586">
        <f t="shared" si="66"/>
        <v>5.1051400417471041E-2</v>
      </c>
      <c r="O296" s="1"/>
      <c r="P296" s="470">
        <f t="shared" si="70"/>
        <v>0.40525293752132124</v>
      </c>
    </row>
    <row r="297" spans="1:16" ht="15" customHeight="1" x14ac:dyDescent="0.2">
      <c r="A297" s="35"/>
      <c r="B297" s="449">
        <v>50</v>
      </c>
      <c r="C297" s="127">
        <f t="shared" si="61"/>
        <v>731.14314285714272</v>
      </c>
      <c r="D297" s="127">
        <f t="shared" si="61"/>
        <v>800.14314285714272</v>
      </c>
      <c r="E297" s="127">
        <f t="shared" si="61"/>
        <v>711.14314285714272</v>
      </c>
      <c r="F297" s="127">
        <f t="shared" si="67"/>
        <v>632.71714285714268</v>
      </c>
      <c r="G297" s="127">
        <f t="shared" si="62"/>
        <v>618.71714285714268</v>
      </c>
      <c r="H297" s="460">
        <f t="shared" si="62"/>
        <v>92.426000000000002</v>
      </c>
      <c r="I297" s="461">
        <f t="shared" si="68"/>
        <v>75</v>
      </c>
      <c r="J297" s="127">
        <f t="shared" si="63"/>
        <v>14</v>
      </c>
      <c r="K297" s="709">
        <f t="shared" si="69"/>
        <v>0.12996820812848209</v>
      </c>
      <c r="L297" s="585">
        <f t="shared" si="64"/>
        <v>0.38335467183699728</v>
      </c>
      <c r="M297" s="585">
        <f t="shared" si="65"/>
        <v>0.32439952864911609</v>
      </c>
      <c r="N297" s="585">
        <f t="shared" si="66"/>
        <v>4.8459867616511242E-2</v>
      </c>
      <c r="O297" s="1"/>
      <c r="P297" s="469">
        <f t="shared" si="70"/>
        <v>0.38335467183699728</v>
      </c>
    </row>
    <row r="298" spans="1:16" ht="15" customHeight="1" x14ac:dyDescent="0.2">
      <c r="A298" s="35"/>
      <c r="B298" s="1"/>
      <c r="C298" s="1"/>
      <c r="D298" s="1"/>
      <c r="E298" s="1"/>
      <c r="F298" s="1"/>
      <c r="G298" s="1"/>
      <c r="H298" s="1"/>
      <c r="I298" s="1"/>
      <c r="J298" s="1"/>
      <c r="K298" s="1"/>
      <c r="L298" s="1"/>
      <c r="M298" s="1"/>
      <c r="N298" s="1"/>
      <c r="O298" s="1"/>
      <c r="P298" s="22"/>
    </row>
    <row r="299" spans="1:16" ht="15" customHeight="1" x14ac:dyDescent="0.2">
      <c r="A299" s="35"/>
      <c r="B299" s="1"/>
      <c r="C299" s="1"/>
      <c r="D299" s="1"/>
      <c r="E299" s="1"/>
      <c r="F299" s="1"/>
      <c r="G299" s="1"/>
      <c r="H299" s="1"/>
      <c r="I299" s="1"/>
      <c r="J299" s="1"/>
      <c r="K299" s="1"/>
      <c r="L299" s="689" t="s">
        <v>526</v>
      </c>
      <c r="M299" s="767" t="s">
        <v>537</v>
      </c>
      <c r="N299" s="1"/>
      <c r="O299" s="1"/>
      <c r="P299" s="22"/>
    </row>
    <row r="300" spans="1:16" ht="15" customHeight="1" x14ac:dyDescent="0.2">
      <c r="A300" s="35"/>
      <c r="B300" s="1"/>
      <c r="C300" s="1"/>
      <c r="D300" s="1"/>
      <c r="E300" s="1"/>
      <c r="F300" s="1"/>
      <c r="G300" s="1"/>
      <c r="H300" s="1"/>
      <c r="I300" s="1"/>
      <c r="J300" s="1"/>
      <c r="K300" s="1"/>
      <c r="M300" s="1"/>
      <c r="N300" s="1"/>
      <c r="O300" s="1"/>
      <c r="P300" s="22"/>
    </row>
    <row r="301" spans="1:16" ht="15" customHeight="1" x14ac:dyDescent="0.2">
      <c r="A301" s="35"/>
      <c r="B301" s="1"/>
      <c r="C301" s="1"/>
      <c r="D301" s="1"/>
      <c r="E301" s="1"/>
      <c r="F301" s="1"/>
      <c r="G301" s="767" t="s">
        <v>539</v>
      </c>
      <c r="H301" s="1"/>
      <c r="I301" s="1"/>
      <c r="J301" s="1"/>
      <c r="K301" s="1"/>
      <c r="L301" s="491" t="s">
        <v>531</v>
      </c>
      <c r="M301" s="280"/>
      <c r="N301" s="1"/>
      <c r="O301" s="1"/>
      <c r="P301" s="22"/>
    </row>
    <row r="302" spans="1:16" ht="15" customHeight="1" x14ac:dyDescent="0.2">
      <c r="A302" s="35"/>
      <c r="B302" s="1"/>
      <c r="C302" s="1"/>
      <c r="D302" s="1"/>
      <c r="E302" s="1"/>
      <c r="F302" s="1"/>
      <c r="G302" s="1"/>
      <c r="H302" s="1"/>
      <c r="I302" s="1"/>
      <c r="J302" s="1"/>
      <c r="K302" s="1"/>
      <c r="L302" s="491" t="s">
        <v>532</v>
      </c>
      <c r="M302" s="1"/>
      <c r="N302" s="1"/>
      <c r="O302" s="1"/>
      <c r="P302" s="22"/>
    </row>
    <row r="303" spans="1:16" ht="15" customHeight="1" x14ac:dyDescent="0.2">
      <c r="A303" s="35"/>
      <c r="B303" s="1"/>
      <c r="C303" s="1"/>
      <c r="D303" s="1"/>
      <c r="E303" s="1"/>
      <c r="F303" s="1"/>
      <c r="G303" s="1"/>
      <c r="H303" s="1"/>
      <c r="I303" s="1"/>
      <c r="J303" s="1"/>
      <c r="K303" s="1"/>
      <c r="L303" s="491" t="s">
        <v>533</v>
      </c>
      <c r="M303" s="1"/>
      <c r="N303" s="1"/>
      <c r="O303" s="1"/>
      <c r="P303" s="22"/>
    </row>
    <row r="304" spans="1:16" ht="15" customHeight="1" x14ac:dyDescent="0.2">
      <c r="A304" s="35"/>
      <c r="B304" s="1"/>
      <c r="C304" s="1"/>
      <c r="D304" s="1"/>
      <c r="E304" s="1"/>
      <c r="F304" s="1"/>
      <c r="G304" s="1"/>
      <c r="H304" s="1"/>
      <c r="I304" s="1"/>
      <c r="J304" s="1"/>
      <c r="K304" s="1"/>
      <c r="L304" s="491" t="s">
        <v>534</v>
      </c>
      <c r="M304" s="1"/>
      <c r="N304" s="1"/>
      <c r="O304" s="1"/>
      <c r="P304" s="22"/>
    </row>
    <row r="305" spans="1:16" ht="15" customHeight="1" x14ac:dyDescent="0.2">
      <c r="A305" s="35"/>
      <c r="B305" s="1"/>
      <c r="C305" s="1"/>
      <c r="D305" s="1"/>
      <c r="E305" s="1"/>
      <c r="F305" s="1"/>
      <c r="G305" s="1"/>
      <c r="H305" s="1"/>
      <c r="I305" s="1"/>
      <c r="J305" s="1"/>
      <c r="K305" s="1"/>
      <c r="L305" s="491" t="s">
        <v>535</v>
      </c>
      <c r="M305" s="1"/>
      <c r="N305" s="1"/>
      <c r="O305" s="1"/>
      <c r="P305" s="22"/>
    </row>
    <row r="306" spans="1:16" ht="15" customHeight="1" x14ac:dyDescent="0.2">
      <c r="A306" s="35"/>
      <c r="B306" s="1"/>
      <c r="C306" s="1"/>
      <c r="D306" s="1"/>
      <c r="E306" s="1"/>
      <c r="F306" s="1"/>
      <c r="G306" s="1"/>
      <c r="H306" s="1"/>
      <c r="I306" s="1"/>
      <c r="J306" s="1"/>
      <c r="K306" s="1"/>
      <c r="L306" s="491" t="s">
        <v>536</v>
      </c>
      <c r="M306" s="1"/>
      <c r="N306" s="1"/>
      <c r="O306" s="1"/>
      <c r="P306" s="22"/>
    </row>
    <row r="307" spans="1:16" ht="15" customHeight="1" x14ac:dyDescent="0.2">
      <c r="A307" s="35"/>
      <c r="B307" s="1"/>
      <c r="C307" s="1"/>
      <c r="D307" s="1"/>
      <c r="E307" s="1"/>
      <c r="F307" s="1"/>
      <c r="G307" s="1"/>
      <c r="H307" s="1"/>
      <c r="I307" s="1"/>
      <c r="J307" s="1"/>
      <c r="K307" s="1"/>
      <c r="L307" s="491" t="s">
        <v>538</v>
      </c>
      <c r="M307" s="1"/>
      <c r="N307" s="1"/>
      <c r="O307" s="1"/>
      <c r="P307" s="22"/>
    </row>
    <row r="308" spans="1:16" ht="15" customHeight="1" x14ac:dyDescent="0.2">
      <c r="A308" s="35"/>
      <c r="B308" s="1"/>
      <c r="C308" s="1"/>
      <c r="D308" s="1"/>
      <c r="E308" s="1"/>
      <c r="F308" s="1"/>
      <c r="G308" s="1"/>
      <c r="H308" s="1"/>
      <c r="I308" s="1"/>
      <c r="J308" s="1"/>
      <c r="K308" s="1"/>
      <c r="L308" s="491"/>
      <c r="M308" s="1"/>
      <c r="N308" s="1"/>
      <c r="O308" s="1"/>
      <c r="P308" s="22"/>
    </row>
    <row r="309" spans="1:16" ht="15" customHeight="1" x14ac:dyDescent="0.2">
      <c r="A309" s="35"/>
      <c r="B309" s="1"/>
      <c r="C309" s="1"/>
      <c r="D309" s="1"/>
      <c r="E309" s="1"/>
      <c r="F309" s="1"/>
      <c r="G309" s="1"/>
      <c r="H309" s="1"/>
      <c r="I309" s="1"/>
      <c r="J309" s="1"/>
      <c r="K309" s="1"/>
      <c r="L309" s="491"/>
      <c r="M309" s="1"/>
      <c r="N309" s="1"/>
      <c r="O309" s="1"/>
      <c r="P309" s="22"/>
    </row>
    <row r="310" spans="1:16" ht="15" customHeight="1" x14ac:dyDescent="0.2">
      <c r="A310" s="36"/>
      <c r="B310" s="24"/>
      <c r="C310" s="24"/>
      <c r="D310" s="24"/>
      <c r="E310" s="24"/>
      <c r="F310" s="24"/>
      <c r="G310" s="24"/>
      <c r="H310" s="24"/>
      <c r="I310" s="24"/>
      <c r="J310" s="24"/>
      <c r="K310" s="24"/>
      <c r="L310" s="24"/>
      <c r="M310" s="24"/>
      <c r="N310" s="24"/>
      <c r="O310" s="24"/>
      <c r="P310" s="17"/>
    </row>
    <row r="311" spans="1:16" ht="15" customHeight="1" x14ac:dyDescent="0.2"/>
    <row r="312" spans="1:16" ht="15" customHeight="1" x14ac:dyDescent="0.2"/>
    <row r="313" spans="1:16" ht="15" customHeight="1" x14ac:dyDescent="0.2"/>
    <row r="314" spans="1:16" ht="15" customHeight="1" x14ac:dyDescent="0.2"/>
    <row r="315" spans="1:16" ht="15" customHeight="1" x14ac:dyDescent="0.2"/>
    <row r="316" spans="1:16" ht="15" customHeight="1" x14ac:dyDescent="0.2"/>
    <row r="317" spans="1:16" ht="15" customHeight="1" x14ac:dyDescent="0.2"/>
    <row r="318" spans="1:16" ht="15" customHeight="1" x14ac:dyDescent="0.2"/>
    <row r="319" spans="1:16" ht="15" customHeight="1" x14ac:dyDescent="0.2"/>
    <row r="320" spans="1:16" ht="15" customHeight="1" x14ac:dyDescent="0.2"/>
    <row r="321" spans="1:21" ht="15" customHeight="1" x14ac:dyDescent="0.2"/>
    <row r="322" spans="1:21" ht="15" customHeight="1" x14ac:dyDescent="0.2"/>
    <row r="323" spans="1:21" ht="15" customHeight="1" x14ac:dyDescent="0.2"/>
    <row r="324" spans="1:21" ht="15" customHeight="1" x14ac:dyDescent="0.2"/>
    <row r="325" spans="1:21" ht="15" customHeight="1" x14ac:dyDescent="0.2"/>
    <row r="326" spans="1:21" ht="15" customHeight="1" x14ac:dyDescent="0.2">
      <c r="A326" s="24"/>
      <c r="B326" s="24"/>
      <c r="C326" s="24"/>
      <c r="D326" s="24"/>
      <c r="E326" s="24"/>
      <c r="F326" s="24"/>
      <c r="G326" s="24"/>
      <c r="H326" s="24"/>
      <c r="I326" s="24"/>
      <c r="J326" s="24"/>
      <c r="K326" s="24"/>
      <c r="L326" s="24"/>
      <c r="M326" s="24"/>
      <c r="N326" s="24"/>
      <c r="O326" s="24"/>
      <c r="P326" s="24"/>
      <c r="Q326" s="24"/>
      <c r="R326" s="24"/>
      <c r="S326" s="24"/>
      <c r="T326" s="24"/>
      <c r="U326" s="24"/>
    </row>
    <row r="327" spans="1:21" ht="15" customHeight="1" x14ac:dyDescent="0.2"/>
    <row r="328" spans="1:21" ht="15" customHeight="1" x14ac:dyDescent="0.2"/>
    <row r="329" spans="1:21" ht="15" customHeight="1" x14ac:dyDescent="0.2"/>
    <row r="330" spans="1:21" ht="15" customHeight="1" x14ac:dyDescent="0.2"/>
    <row r="331" spans="1:21" ht="15" customHeight="1" x14ac:dyDescent="0.2"/>
    <row r="332" spans="1:21" ht="15" customHeight="1" x14ac:dyDescent="0.2"/>
    <row r="333" spans="1:21" ht="15" customHeight="1" x14ac:dyDescent="0.2"/>
    <row r="334" spans="1:21" ht="15" customHeight="1" x14ac:dyDescent="0.2"/>
    <row r="335" spans="1:21" ht="15" customHeight="1" x14ac:dyDescent="0.2"/>
    <row r="336" spans="1:21"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sheetData>
  <pageMargins left="0.45" right="0.45" top="0.5" bottom="0.5" header="0.3" footer="0.3"/>
  <pageSetup scale="77"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czeta_bkwd_3075s_actual_v1</vt:lpstr>
      <vt:lpstr>czeta_bkwd_3075s_trend_v2</vt:lpstr>
      <vt:lpstr>czeta_bkwd_3075s_trend_v3</vt:lpstr>
      <vt:lpstr>czeta_bkwd_3075s_v7</vt:lpstr>
      <vt:lpstr>czeta_bkwd_3075s_v8</vt:lpstr>
      <vt:lpstr>czeta_bkwd_3171_3304_aver_v9</vt:lpstr>
      <vt:lpstr>czeta_bkwd_3514s_id13_g</vt:lpstr>
      <vt:lpstr>czeta_bkwd_3171s_id8_b</vt:lpstr>
      <vt:lpstr>czeta_bkwd_3304s_id9_b</vt:lpstr>
      <vt:lpstr>czeta_bkwd_3423s_id12_f</vt:lpstr>
      <vt:lpstr>czeta_bkwd_3694s_1of5</vt:lpstr>
      <vt:lpstr>czeta_bkwd_3694s_2of5</vt:lpstr>
      <vt:lpstr>czeta_bkwd_3694s_3of5</vt:lpstr>
      <vt:lpstr>czeta_bkwd_3694s_4of5</vt:lpstr>
      <vt:lpstr>czeta_bkwd_3694s_5of5</vt:lpstr>
      <vt:lpstr>czeta_bkwd_3694s_id14_g (3)</vt:lpstr>
      <vt:lpstr>czeta_bkwd_3694s_id14_g (2)</vt:lpstr>
      <vt:lpstr>czeta_bkwd_3694s_id14_g</vt:lpstr>
      <vt:lpstr>czeta_bkwd_3694s_id15_h</vt:lpstr>
      <vt:lpstr>czeta_bkwd_3694s_id16_i</vt:lpstr>
      <vt:lpstr>czeta_tweak</vt:lpstr>
      <vt:lpstr>Sheet1</vt:lpstr>
      <vt:lpstr>czeta_bkwd_3075s_actual_v1!Print_Area</vt:lpstr>
      <vt:lpstr>czeta_bkwd_3075s_trend_v2!Print_Area</vt:lpstr>
      <vt:lpstr>czeta_bkwd_3075s_trend_v3!Print_Area</vt:lpstr>
      <vt:lpstr>czeta_bkwd_3075s_v7!Print_Area</vt:lpstr>
      <vt:lpstr>czeta_bkwd_3075s_v8!Print_Area</vt:lpstr>
      <vt:lpstr>czeta_bkwd_3171_3304_aver_v9!Print_Area</vt:lpstr>
      <vt:lpstr>czeta_bkwd_3171s_id8_b!Print_Area</vt:lpstr>
      <vt:lpstr>czeta_bkwd_3304s_id9_b!Print_Area</vt:lpstr>
      <vt:lpstr>czeta_bkwd_3423s_id12_f!Print_Area</vt:lpstr>
      <vt:lpstr>czeta_bkwd_3514s_id13_g!Print_Area</vt:lpstr>
      <vt:lpstr>czeta_bkwd_3694s_1of5!Print_Area</vt:lpstr>
      <vt:lpstr>czeta_bkwd_3694s_2of5!Print_Area</vt:lpstr>
      <vt:lpstr>czeta_bkwd_3694s_3of5!Print_Area</vt:lpstr>
      <vt:lpstr>czeta_bkwd_3694s_4of5!Print_Area</vt:lpstr>
      <vt:lpstr>czeta_bkwd_3694s_5of5!Print_Area</vt:lpstr>
      <vt:lpstr>czeta_bkwd_3694s_id14_g!Print_Area</vt:lpstr>
      <vt:lpstr>'czeta_bkwd_3694s_id14_g (2)'!Print_Area</vt:lpstr>
      <vt:lpstr>'czeta_bkwd_3694s_id14_g (3)'!Print_Area</vt:lpstr>
      <vt:lpstr>czeta_bkwd_3694s_id15_h!Print_Area</vt:lpstr>
      <vt:lpstr>czeta_bkwd_3694s_id16_i!Print_Area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Stillwell</dc:creator>
  <cp:lastModifiedBy>Kevin</cp:lastModifiedBy>
  <cp:lastPrinted>2022-08-24T22:57:59Z</cp:lastPrinted>
  <dcterms:created xsi:type="dcterms:W3CDTF">2017-08-18T22:36:59Z</dcterms:created>
  <dcterms:modified xsi:type="dcterms:W3CDTF">2022-08-25T00:16:17Z</dcterms:modified>
</cp:coreProperties>
</file>