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9020" windowHeight="8325"/>
  </bookViews>
  <sheets>
    <sheet name="lscircuit_disabled" sheetId="1" r:id="rId1"/>
    <sheet name="lcsircuit_enabled" sheetId="2" r:id="rId2"/>
    <sheet name="compilation_disabled" sheetId="4" r:id="rId3"/>
    <sheet name="compilation_enabled" sheetId="5" r:id="rId4"/>
    <sheet name="linear_reb_zeta" sheetId="6" r:id="rId5"/>
    <sheet name="Sheet3" sheetId="3" r:id="rId6"/>
  </sheets>
  <definedNames>
    <definedName name="_xlnm.Print_Area" localSheetId="2">compilation_disabled!$E$136:$R$185</definedName>
    <definedName name="_xlnm.Print_Area" localSheetId="3">compilation_enabled!$E$158:$R$203</definedName>
    <definedName name="_xlnm.Print_Area" localSheetId="4">linear_reb_zeta!$E$6:$Q$80</definedName>
  </definedNames>
  <calcPr calcId="145621"/>
</workbook>
</file>

<file path=xl/calcChain.xml><?xml version="1.0" encoding="utf-8"?>
<calcChain xmlns="http://schemas.openxmlformats.org/spreadsheetml/2006/main">
  <c r="R17" i="1" l="1"/>
  <c r="Q72" i="6" l="1"/>
  <c r="P72" i="6"/>
  <c r="O72" i="6"/>
  <c r="N72" i="6"/>
  <c r="M72" i="6"/>
  <c r="L72" i="6"/>
  <c r="K72" i="6"/>
  <c r="J72" i="6"/>
  <c r="I72" i="6"/>
  <c r="H72" i="6"/>
  <c r="G72" i="6"/>
  <c r="F72" i="6"/>
  <c r="Q60" i="6"/>
  <c r="P60" i="6"/>
  <c r="O60" i="6"/>
  <c r="N60" i="6"/>
  <c r="M60" i="6"/>
  <c r="L60" i="6"/>
  <c r="K60" i="6"/>
  <c r="J60" i="6"/>
  <c r="I60" i="6"/>
  <c r="H60" i="6"/>
  <c r="G60" i="6"/>
  <c r="F60" i="6"/>
  <c r="Q48" i="6"/>
  <c r="P48" i="6"/>
  <c r="O48" i="6"/>
  <c r="N48" i="6"/>
  <c r="M48" i="6"/>
  <c r="L48" i="6"/>
  <c r="K48" i="6"/>
  <c r="J48" i="6"/>
  <c r="I48" i="6"/>
  <c r="H48" i="6"/>
  <c r="G48" i="6"/>
  <c r="F48" i="6"/>
  <c r="Q36" i="6"/>
  <c r="P36" i="6"/>
  <c r="O36" i="6"/>
  <c r="N36" i="6"/>
  <c r="M36" i="6"/>
  <c r="L36" i="6"/>
  <c r="K36" i="6"/>
  <c r="J36" i="6"/>
  <c r="I36" i="6"/>
  <c r="H36" i="6"/>
  <c r="G36" i="6"/>
  <c r="F36" i="6"/>
  <c r="G29" i="6"/>
  <c r="G30" i="6" s="1"/>
  <c r="G31" i="6" s="1"/>
  <c r="H29" i="6"/>
  <c r="H32" i="6" s="1"/>
  <c r="I29" i="6"/>
  <c r="I41" i="6" s="1"/>
  <c r="J29" i="6"/>
  <c r="J25" i="6" s="1"/>
  <c r="K29" i="6"/>
  <c r="K30" i="6" s="1"/>
  <c r="K31" i="6" s="1"/>
  <c r="L29" i="6"/>
  <c r="L25" i="6" s="1"/>
  <c r="M29" i="6"/>
  <c r="M25" i="6" s="1"/>
  <c r="N29" i="6"/>
  <c r="N25" i="6" s="1"/>
  <c r="O29" i="6"/>
  <c r="O30" i="6" s="1"/>
  <c r="O31" i="6" s="1"/>
  <c r="P29" i="6"/>
  <c r="P25" i="6" s="1"/>
  <c r="Q30" i="6"/>
  <c r="Q31" i="6" s="1"/>
  <c r="F29" i="6"/>
  <c r="F32" i="6" s="1"/>
  <c r="I32" i="6"/>
  <c r="I25" i="6"/>
  <c r="Q24" i="6"/>
  <c r="P24" i="6"/>
  <c r="O24" i="6"/>
  <c r="N24" i="6"/>
  <c r="M24" i="6"/>
  <c r="L24" i="6"/>
  <c r="K24" i="6"/>
  <c r="J24" i="6"/>
  <c r="I24" i="6"/>
  <c r="H24" i="6"/>
  <c r="G24" i="6"/>
  <c r="F24" i="6"/>
  <c r="Q20" i="6"/>
  <c r="P20" i="6"/>
  <c r="O20" i="6"/>
  <c r="N20" i="6"/>
  <c r="M20" i="6"/>
  <c r="L20" i="6"/>
  <c r="K20" i="6"/>
  <c r="J20" i="6"/>
  <c r="I20" i="6"/>
  <c r="H20" i="6"/>
  <c r="G20" i="6"/>
  <c r="F20" i="6"/>
  <c r="Q18" i="6"/>
  <c r="Q19" i="6" s="1"/>
  <c r="P18" i="6"/>
  <c r="P19" i="6" s="1"/>
  <c r="O18" i="6"/>
  <c r="O19" i="6" s="1"/>
  <c r="N18" i="6"/>
  <c r="N19" i="6" s="1"/>
  <c r="M18" i="6"/>
  <c r="M19" i="6" s="1"/>
  <c r="L18" i="6"/>
  <c r="L19" i="6" s="1"/>
  <c r="K18" i="6"/>
  <c r="K19" i="6" s="1"/>
  <c r="J18" i="6"/>
  <c r="J19" i="6" s="1"/>
  <c r="I18" i="6"/>
  <c r="I19" i="6" s="1"/>
  <c r="H18" i="6"/>
  <c r="H19" i="6" s="1"/>
  <c r="G18" i="6"/>
  <c r="G19" i="6" s="1"/>
  <c r="F18" i="6"/>
  <c r="F19" i="6" s="1"/>
  <c r="Q13" i="6"/>
  <c r="P13" i="6"/>
  <c r="O13" i="6"/>
  <c r="N13" i="6"/>
  <c r="M13" i="6"/>
  <c r="L13" i="6"/>
  <c r="K13" i="6"/>
  <c r="J13" i="6"/>
  <c r="I13" i="6"/>
  <c r="H13" i="6"/>
  <c r="G13" i="6"/>
  <c r="F13" i="6"/>
  <c r="Q12" i="6"/>
  <c r="P12" i="6"/>
  <c r="O12" i="6"/>
  <c r="N12" i="6"/>
  <c r="M12" i="6"/>
  <c r="L12" i="6"/>
  <c r="K12" i="6"/>
  <c r="J12" i="6"/>
  <c r="I12" i="6"/>
  <c r="H12" i="6"/>
  <c r="G12" i="6"/>
  <c r="F12" i="6"/>
  <c r="I30" i="6" l="1"/>
  <c r="I31" i="6" s="1"/>
  <c r="I44" i="6"/>
  <c r="I53" i="6"/>
  <c r="I37" i="6"/>
  <c r="P41" i="6"/>
  <c r="H41" i="6"/>
  <c r="Q41" i="6"/>
  <c r="M41" i="6"/>
  <c r="L41" i="6"/>
  <c r="L42" i="6" s="1"/>
  <c r="L43" i="6" s="1"/>
  <c r="O41" i="6"/>
  <c r="O42" i="6" s="1"/>
  <c r="O43" i="6" s="1"/>
  <c r="K41" i="6"/>
  <c r="G41" i="6"/>
  <c r="F41" i="6"/>
  <c r="N41" i="6"/>
  <c r="N42" i="6" s="1"/>
  <c r="N43" i="6" s="1"/>
  <c r="J41" i="6"/>
  <c r="I49" i="6"/>
  <c r="I54" i="6"/>
  <c r="I55" i="6" s="1"/>
  <c r="H37" i="6"/>
  <c r="K37" i="6"/>
  <c r="J42" i="6"/>
  <c r="J43" i="6" s="1"/>
  <c r="H42" i="6"/>
  <c r="H43" i="6" s="1"/>
  <c r="K42" i="6"/>
  <c r="K43" i="6" s="1"/>
  <c r="I42" i="6"/>
  <c r="I43" i="6" s="1"/>
  <c r="Q42" i="6"/>
  <c r="Q43" i="6" s="1"/>
  <c r="P32" i="6"/>
  <c r="J32" i="6"/>
  <c r="Q25" i="6"/>
  <c r="M32" i="6"/>
  <c r="M30" i="6"/>
  <c r="M31" i="6" s="1"/>
  <c r="Q32" i="6"/>
  <c r="H30" i="6"/>
  <c r="H31" i="6" s="1"/>
  <c r="O25" i="6"/>
  <c r="H25" i="6"/>
  <c r="P30" i="6"/>
  <c r="P31" i="6" s="1"/>
  <c r="L32" i="6"/>
  <c r="K25" i="6"/>
  <c r="L30" i="6"/>
  <c r="L31" i="6" s="1"/>
  <c r="G25" i="6"/>
  <c r="N32" i="6"/>
  <c r="J30" i="6"/>
  <c r="J31" i="6" s="1"/>
  <c r="N30" i="6"/>
  <c r="N31" i="6" s="1"/>
  <c r="G32" i="6"/>
  <c r="K32" i="6"/>
  <c r="O32" i="6"/>
  <c r="F25" i="6"/>
  <c r="F30" i="6"/>
  <c r="F31" i="6" s="1"/>
  <c r="R125" i="5"/>
  <c r="G107" i="5"/>
  <c r="H107" i="5"/>
  <c r="I107" i="5"/>
  <c r="J107" i="5"/>
  <c r="K107" i="5"/>
  <c r="L107" i="5"/>
  <c r="M107" i="5"/>
  <c r="N107" i="5"/>
  <c r="O107" i="5"/>
  <c r="P107" i="5"/>
  <c r="F107" i="5"/>
  <c r="Q107" i="5"/>
  <c r="Q120" i="5"/>
  <c r="P120" i="5"/>
  <c r="O120" i="5"/>
  <c r="N120" i="5"/>
  <c r="M120" i="5"/>
  <c r="L120" i="5"/>
  <c r="K120" i="5"/>
  <c r="K122" i="5" s="1"/>
  <c r="J120" i="5"/>
  <c r="I120" i="5"/>
  <c r="H120" i="5"/>
  <c r="G120" i="5"/>
  <c r="G122" i="5" s="1"/>
  <c r="F120" i="5"/>
  <c r="Q118" i="5"/>
  <c r="Q119" i="5" s="1"/>
  <c r="P118" i="5"/>
  <c r="P119" i="5" s="1"/>
  <c r="O118" i="5"/>
  <c r="O119" i="5" s="1"/>
  <c r="N118" i="5"/>
  <c r="N119" i="5" s="1"/>
  <c r="M118" i="5"/>
  <c r="M119" i="5" s="1"/>
  <c r="L118" i="5"/>
  <c r="L119" i="5" s="1"/>
  <c r="K118" i="5"/>
  <c r="K119" i="5" s="1"/>
  <c r="J118" i="5"/>
  <c r="J119" i="5" s="1"/>
  <c r="I118" i="5"/>
  <c r="I119" i="5" s="1"/>
  <c r="H118" i="5"/>
  <c r="H119" i="5" s="1"/>
  <c r="G118" i="5"/>
  <c r="G119" i="5" s="1"/>
  <c r="F118" i="5"/>
  <c r="F119" i="5" s="1"/>
  <c r="Q110" i="5"/>
  <c r="P110" i="5"/>
  <c r="O110" i="5"/>
  <c r="N110" i="5"/>
  <c r="M110" i="5"/>
  <c r="L110" i="5"/>
  <c r="K110" i="5"/>
  <c r="J110" i="5"/>
  <c r="I110" i="5"/>
  <c r="H110" i="5"/>
  <c r="G110" i="5"/>
  <c r="F110" i="5"/>
  <c r="Q109" i="5"/>
  <c r="P109" i="5"/>
  <c r="O109" i="5"/>
  <c r="N109" i="5"/>
  <c r="M109" i="5"/>
  <c r="L109" i="5"/>
  <c r="K109" i="5"/>
  <c r="J109" i="5"/>
  <c r="I109" i="5"/>
  <c r="H109" i="5"/>
  <c r="G109" i="5"/>
  <c r="F109" i="5"/>
  <c r="E133" i="5"/>
  <c r="E134" i="5"/>
  <c r="E135" i="5"/>
  <c r="E132" i="5"/>
  <c r="R103" i="5"/>
  <c r="G85" i="5"/>
  <c r="H85" i="5"/>
  <c r="I85" i="5"/>
  <c r="J85" i="5"/>
  <c r="K85" i="5"/>
  <c r="L85" i="5"/>
  <c r="M85" i="5"/>
  <c r="N85" i="5"/>
  <c r="O85" i="5"/>
  <c r="P85" i="5"/>
  <c r="F85" i="5"/>
  <c r="Q85" i="5"/>
  <c r="Q98" i="5"/>
  <c r="P98" i="5"/>
  <c r="O98" i="5"/>
  <c r="N98" i="5"/>
  <c r="M98" i="5"/>
  <c r="L98" i="5"/>
  <c r="K98" i="5"/>
  <c r="J98" i="5"/>
  <c r="I98" i="5"/>
  <c r="H98" i="5"/>
  <c r="G98" i="5"/>
  <c r="F98" i="5"/>
  <c r="Q96" i="5"/>
  <c r="Q97" i="5" s="1"/>
  <c r="P96" i="5"/>
  <c r="P97" i="5" s="1"/>
  <c r="O96" i="5"/>
  <c r="O97" i="5" s="1"/>
  <c r="N96" i="5"/>
  <c r="N97" i="5" s="1"/>
  <c r="M96" i="5"/>
  <c r="M97" i="5" s="1"/>
  <c r="L96" i="5"/>
  <c r="L97" i="5" s="1"/>
  <c r="K96" i="5"/>
  <c r="K97" i="5" s="1"/>
  <c r="J96" i="5"/>
  <c r="J97" i="5" s="1"/>
  <c r="I96" i="5"/>
  <c r="I97" i="5" s="1"/>
  <c r="H96" i="5"/>
  <c r="H97" i="5" s="1"/>
  <c r="G96" i="5"/>
  <c r="G97" i="5" s="1"/>
  <c r="F96" i="5"/>
  <c r="F97" i="5" s="1"/>
  <c r="Q88" i="5"/>
  <c r="P88" i="5"/>
  <c r="O88" i="5"/>
  <c r="N88" i="5"/>
  <c r="M88" i="5"/>
  <c r="L88" i="5"/>
  <c r="K88" i="5"/>
  <c r="J88" i="5"/>
  <c r="I88" i="5"/>
  <c r="H88" i="5"/>
  <c r="G88" i="5"/>
  <c r="F88" i="5"/>
  <c r="Q87" i="5"/>
  <c r="P87" i="5"/>
  <c r="O87" i="5"/>
  <c r="N87" i="5"/>
  <c r="M87" i="5"/>
  <c r="L87" i="5"/>
  <c r="K87" i="5"/>
  <c r="J87" i="5"/>
  <c r="I87" i="5"/>
  <c r="H87" i="5"/>
  <c r="G87" i="5"/>
  <c r="F87" i="5"/>
  <c r="G70" i="5"/>
  <c r="H70" i="5"/>
  <c r="I70" i="5"/>
  <c r="J70" i="5"/>
  <c r="K70" i="5"/>
  <c r="L70" i="5"/>
  <c r="M70" i="5"/>
  <c r="N70" i="5"/>
  <c r="O70" i="5"/>
  <c r="P70" i="5"/>
  <c r="Q70" i="5"/>
  <c r="F70" i="5"/>
  <c r="F51" i="5"/>
  <c r="T68" i="5"/>
  <c r="Q62" i="5"/>
  <c r="Q63" i="5" s="1"/>
  <c r="P62" i="5"/>
  <c r="P63" i="5" s="1"/>
  <c r="O62" i="5"/>
  <c r="O63" i="5" s="1"/>
  <c r="N62" i="5"/>
  <c r="N63" i="5" s="1"/>
  <c r="M62" i="5"/>
  <c r="M63" i="5" s="1"/>
  <c r="L62" i="5"/>
  <c r="L63" i="5" s="1"/>
  <c r="K62" i="5"/>
  <c r="K63" i="5" s="1"/>
  <c r="J62" i="5"/>
  <c r="J63" i="5" s="1"/>
  <c r="I62" i="5"/>
  <c r="I63" i="5" s="1"/>
  <c r="H62" i="5"/>
  <c r="H63" i="5" s="1"/>
  <c r="G62" i="5"/>
  <c r="G63" i="5" s="1"/>
  <c r="F62" i="5"/>
  <c r="F63" i="5" s="1"/>
  <c r="Q64" i="5"/>
  <c r="P64" i="5"/>
  <c r="O64" i="5"/>
  <c r="N64" i="5"/>
  <c r="M64" i="5"/>
  <c r="L64" i="5"/>
  <c r="K64" i="5"/>
  <c r="J64" i="5"/>
  <c r="I64" i="5"/>
  <c r="H64" i="5"/>
  <c r="G64" i="5"/>
  <c r="F64" i="5"/>
  <c r="Q54" i="5"/>
  <c r="P54" i="5"/>
  <c r="O54" i="5"/>
  <c r="N54" i="5"/>
  <c r="M54" i="5"/>
  <c r="L54" i="5"/>
  <c r="K54" i="5"/>
  <c r="J54" i="5"/>
  <c r="I54" i="5"/>
  <c r="H54" i="5"/>
  <c r="G54" i="5"/>
  <c r="F54" i="5"/>
  <c r="Q53" i="5"/>
  <c r="P53" i="5"/>
  <c r="O53" i="5"/>
  <c r="N53" i="5"/>
  <c r="M53" i="5"/>
  <c r="L53" i="5"/>
  <c r="K53" i="5"/>
  <c r="J53" i="5"/>
  <c r="I53" i="5"/>
  <c r="H53" i="5"/>
  <c r="G53" i="5"/>
  <c r="F53" i="5"/>
  <c r="Q51" i="5"/>
  <c r="P51" i="5"/>
  <c r="O51" i="5"/>
  <c r="N51" i="5"/>
  <c r="M51" i="5"/>
  <c r="L51" i="5"/>
  <c r="K51" i="5"/>
  <c r="J51" i="5"/>
  <c r="I51" i="5"/>
  <c r="H51" i="5"/>
  <c r="G51" i="5"/>
  <c r="Q27" i="5"/>
  <c r="P27" i="5"/>
  <c r="O27" i="5"/>
  <c r="N27" i="5"/>
  <c r="M27" i="5"/>
  <c r="L27" i="5"/>
  <c r="K27" i="5"/>
  <c r="J27" i="5"/>
  <c r="I27" i="5"/>
  <c r="H27" i="5"/>
  <c r="G27" i="5"/>
  <c r="Q25" i="5"/>
  <c r="Q26" i="5" s="1"/>
  <c r="P25" i="5"/>
  <c r="P26" i="5" s="1"/>
  <c r="O25" i="5"/>
  <c r="O26" i="5" s="1"/>
  <c r="N25" i="5"/>
  <c r="N26" i="5" s="1"/>
  <c r="M25" i="5"/>
  <c r="M26" i="5" s="1"/>
  <c r="L25" i="5"/>
  <c r="L26" i="5" s="1"/>
  <c r="K25" i="5"/>
  <c r="K26" i="5" s="1"/>
  <c r="J25" i="5"/>
  <c r="J26" i="5" s="1"/>
  <c r="I25" i="5"/>
  <c r="I26" i="5" s="1"/>
  <c r="H25" i="5"/>
  <c r="H26" i="5" s="1"/>
  <c r="G25" i="5"/>
  <c r="G26" i="5" s="1"/>
  <c r="F25" i="5"/>
  <c r="F26" i="5" s="1"/>
  <c r="Q17" i="5"/>
  <c r="P17" i="5"/>
  <c r="O17" i="5"/>
  <c r="N17" i="5"/>
  <c r="M17" i="5"/>
  <c r="L17" i="5"/>
  <c r="K17" i="5"/>
  <c r="J17" i="5"/>
  <c r="I17" i="5"/>
  <c r="H17" i="5"/>
  <c r="G17" i="5"/>
  <c r="F17" i="5"/>
  <c r="Q16" i="5"/>
  <c r="P16" i="5"/>
  <c r="O16" i="5"/>
  <c r="N16" i="5"/>
  <c r="M16" i="5"/>
  <c r="L16" i="5"/>
  <c r="K16" i="5"/>
  <c r="J16" i="5"/>
  <c r="I16" i="5"/>
  <c r="H16" i="5"/>
  <c r="G16" i="5"/>
  <c r="G210" i="2"/>
  <c r="H210" i="2"/>
  <c r="I210" i="2"/>
  <c r="J210" i="2"/>
  <c r="K210" i="2"/>
  <c r="L210" i="2"/>
  <c r="M210" i="2"/>
  <c r="N210" i="2"/>
  <c r="O210" i="2"/>
  <c r="P210" i="2"/>
  <c r="F210" i="2"/>
  <c r="Q210" i="2"/>
  <c r="Q227" i="2"/>
  <c r="P227" i="2"/>
  <c r="O227" i="2"/>
  <c r="N227" i="2"/>
  <c r="M227" i="2"/>
  <c r="L227" i="2"/>
  <c r="K227" i="2"/>
  <c r="J227" i="2"/>
  <c r="I227" i="2"/>
  <c r="H227" i="2"/>
  <c r="G227" i="2"/>
  <c r="Q226" i="2"/>
  <c r="P226" i="2"/>
  <c r="O226" i="2"/>
  <c r="N226" i="2"/>
  <c r="M226" i="2"/>
  <c r="L226" i="2"/>
  <c r="K226" i="2"/>
  <c r="J226" i="2"/>
  <c r="I226" i="2"/>
  <c r="H226" i="2"/>
  <c r="G226" i="2"/>
  <c r="J111" i="4"/>
  <c r="K122" i="4"/>
  <c r="L118" i="4"/>
  <c r="L111" i="4"/>
  <c r="M118" i="4"/>
  <c r="M111" i="4" s="1"/>
  <c r="N118" i="4"/>
  <c r="O118" i="4"/>
  <c r="O111" i="4" s="1"/>
  <c r="P118" i="4"/>
  <c r="P122" i="4" s="1"/>
  <c r="Q118" i="4"/>
  <c r="Q122" i="4" s="1"/>
  <c r="H109" i="4"/>
  <c r="I109" i="4"/>
  <c r="J109" i="4"/>
  <c r="K109" i="4"/>
  <c r="F109" i="4"/>
  <c r="I122" i="4"/>
  <c r="H122" i="4"/>
  <c r="F122" i="4"/>
  <c r="Q120" i="4"/>
  <c r="Q121" i="4" s="1"/>
  <c r="P120" i="4"/>
  <c r="P121" i="4" s="1"/>
  <c r="O120" i="4"/>
  <c r="O121" i="4" s="1"/>
  <c r="N120" i="4"/>
  <c r="N121" i="4" s="1"/>
  <c r="M120" i="4"/>
  <c r="M121" i="4" s="1"/>
  <c r="L120" i="4"/>
  <c r="L121" i="4" s="1"/>
  <c r="K120" i="4"/>
  <c r="K121" i="4" s="1"/>
  <c r="J120" i="4"/>
  <c r="J121" i="4" s="1"/>
  <c r="I120" i="4"/>
  <c r="I121" i="4" s="1"/>
  <c r="H120" i="4"/>
  <c r="H121" i="4" s="1"/>
  <c r="G120" i="4"/>
  <c r="G121" i="4" s="1"/>
  <c r="F120" i="4"/>
  <c r="F121" i="4" s="1"/>
  <c r="G118" i="4"/>
  <c r="G111" i="4" s="1"/>
  <c r="Q112" i="4"/>
  <c r="P112" i="4"/>
  <c r="O112" i="4"/>
  <c r="N112" i="4"/>
  <c r="M112" i="4"/>
  <c r="L112" i="4"/>
  <c r="K112" i="4"/>
  <c r="J112" i="4"/>
  <c r="I112" i="4"/>
  <c r="H112" i="4"/>
  <c r="G112" i="4"/>
  <c r="F112" i="4"/>
  <c r="I111" i="4"/>
  <c r="H111" i="4"/>
  <c r="F111" i="4"/>
  <c r="L98" i="4"/>
  <c r="L102" i="4" s="1"/>
  <c r="K102" i="4"/>
  <c r="I91" i="4"/>
  <c r="H102" i="4"/>
  <c r="G89" i="4"/>
  <c r="J102" i="4"/>
  <c r="G39" i="4"/>
  <c r="H39" i="4"/>
  <c r="I39" i="4"/>
  <c r="J39" i="4"/>
  <c r="K39" i="4"/>
  <c r="L39" i="4"/>
  <c r="M39" i="4"/>
  <c r="N39" i="4"/>
  <c r="F39" i="4"/>
  <c r="M98" i="4"/>
  <c r="M89" i="4" s="1"/>
  <c r="N98" i="4"/>
  <c r="N102" i="4" s="1"/>
  <c r="O98" i="4"/>
  <c r="O89" i="4" s="1"/>
  <c r="P98" i="4"/>
  <c r="P89" i="4" s="1"/>
  <c r="Q98" i="4"/>
  <c r="Q89" i="4" s="1"/>
  <c r="F89" i="4"/>
  <c r="F102" i="4"/>
  <c r="Q100" i="4"/>
  <c r="Q101" i="4" s="1"/>
  <c r="P100" i="4"/>
  <c r="P101" i="4" s="1"/>
  <c r="O100" i="4"/>
  <c r="O101" i="4" s="1"/>
  <c r="N100" i="4"/>
  <c r="N101" i="4" s="1"/>
  <c r="M100" i="4"/>
  <c r="M101" i="4" s="1"/>
  <c r="L100" i="4"/>
  <c r="L101" i="4" s="1"/>
  <c r="K100" i="4"/>
  <c r="K101" i="4" s="1"/>
  <c r="J100" i="4"/>
  <c r="J101" i="4" s="1"/>
  <c r="I100" i="4"/>
  <c r="I101" i="4" s="1"/>
  <c r="H100" i="4"/>
  <c r="H101" i="4" s="1"/>
  <c r="G100" i="4"/>
  <c r="G101" i="4" s="1"/>
  <c r="F100" i="4"/>
  <c r="F101" i="4" s="1"/>
  <c r="Q92" i="4"/>
  <c r="P92" i="4"/>
  <c r="O92" i="4"/>
  <c r="N92" i="4"/>
  <c r="M92" i="4"/>
  <c r="L92" i="4"/>
  <c r="K92" i="4"/>
  <c r="J92" i="4"/>
  <c r="I92" i="4"/>
  <c r="H92" i="4"/>
  <c r="G92" i="4"/>
  <c r="F92" i="4"/>
  <c r="Q91" i="4"/>
  <c r="H91" i="4"/>
  <c r="F91" i="4"/>
  <c r="K40" i="4"/>
  <c r="G40" i="4"/>
  <c r="H40" i="4"/>
  <c r="I40" i="4"/>
  <c r="J40" i="4"/>
  <c r="L40" i="4"/>
  <c r="M40" i="4"/>
  <c r="N40" i="4"/>
  <c r="F40" i="4"/>
  <c r="G53" i="4"/>
  <c r="Q51" i="4"/>
  <c r="Q52" i="4" s="1"/>
  <c r="P51" i="4"/>
  <c r="P52" i="4" s="1"/>
  <c r="O51" i="4"/>
  <c r="O52" i="4" s="1"/>
  <c r="N51" i="4"/>
  <c r="N52" i="4" s="1"/>
  <c r="M51" i="4"/>
  <c r="M52" i="4" s="1"/>
  <c r="L51" i="4"/>
  <c r="L52" i="4" s="1"/>
  <c r="K51" i="4"/>
  <c r="K52" i="4" s="1"/>
  <c r="J51" i="4"/>
  <c r="J52" i="4" s="1"/>
  <c r="I51" i="4"/>
  <c r="I52" i="4" s="1"/>
  <c r="H51" i="4"/>
  <c r="H52" i="4" s="1"/>
  <c r="G51" i="4"/>
  <c r="G52" i="4" s="1"/>
  <c r="F51" i="4"/>
  <c r="F52" i="4" s="1"/>
  <c r="Q42" i="4"/>
  <c r="P42" i="4"/>
  <c r="O53" i="4"/>
  <c r="N53" i="4"/>
  <c r="M53" i="4"/>
  <c r="L42" i="4"/>
  <c r="K53" i="4"/>
  <c r="J53" i="4"/>
  <c r="I42" i="4"/>
  <c r="H42" i="4"/>
  <c r="F53" i="4"/>
  <c r="Q43" i="4"/>
  <c r="P43" i="4"/>
  <c r="O43" i="4"/>
  <c r="N43" i="4"/>
  <c r="M43" i="4"/>
  <c r="L43" i="4"/>
  <c r="K43" i="4"/>
  <c r="J43" i="4"/>
  <c r="I43" i="4"/>
  <c r="H43" i="4"/>
  <c r="G43" i="4"/>
  <c r="F43" i="4"/>
  <c r="O42" i="4"/>
  <c r="N42" i="4"/>
  <c r="K42" i="4"/>
  <c r="J42" i="4"/>
  <c r="G42" i="4"/>
  <c r="F42" i="4"/>
  <c r="N27" i="4"/>
  <c r="M27" i="4"/>
  <c r="L27" i="4"/>
  <c r="K27" i="4"/>
  <c r="I27" i="4"/>
  <c r="H27" i="4"/>
  <c r="G27" i="4"/>
  <c r="F27" i="4"/>
  <c r="Q25" i="4"/>
  <c r="Q26" i="4" s="1"/>
  <c r="P25" i="4"/>
  <c r="P26" i="4" s="1"/>
  <c r="O25" i="4"/>
  <c r="O26" i="4" s="1"/>
  <c r="N25" i="4"/>
  <c r="N26" i="4" s="1"/>
  <c r="M25" i="4"/>
  <c r="M26" i="4" s="1"/>
  <c r="L25" i="4"/>
  <c r="L26" i="4" s="1"/>
  <c r="K25" i="4"/>
  <c r="K26" i="4" s="1"/>
  <c r="J25" i="4"/>
  <c r="J26" i="4" s="1"/>
  <c r="I25" i="4"/>
  <c r="I26" i="4" s="1"/>
  <c r="H25" i="4"/>
  <c r="H26" i="4" s="1"/>
  <c r="G25" i="4"/>
  <c r="G26" i="4" s="1"/>
  <c r="F25" i="4"/>
  <c r="F26" i="4" s="1"/>
  <c r="Q23" i="4"/>
  <c r="Q27" i="4" s="1"/>
  <c r="P23" i="4"/>
  <c r="P27" i="4" s="1"/>
  <c r="P28" i="4" s="1"/>
  <c r="O23" i="4"/>
  <c r="O27" i="4" s="1"/>
  <c r="J27" i="4"/>
  <c r="K28" i="4" s="1"/>
  <c r="Q17" i="4"/>
  <c r="P17" i="4"/>
  <c r="O17" i="4"/>
  <c r="N17" i="4"/>
  <c r="M17" i="4"/>
  <c r="L17" i="4"/>
  <c r="K17" i="4"/>
  <c r="J17" i="4"/>
  <c r="I17" i="4"/>
  <c r="H17" i="4"/>
  <c r="G17" i="4"/>
  <c r="F17" i="4"/>
  <c r="Q16" i="4"/>
  <c r="P16" i="4"/>
  <c r="O16" i="4"/>
  <c r="N16" i="4"/>
  <c r="M16" i="4"/>
  <c r="L16" i="4"/>
  <c r="K16" i="4"/>
  <c r="J16" i="4"/>
  <c r="I16" i="4"/>
  <c r="H16" i="4"/>
  <c r="G16" i="4"/>
  <c r="F16" i="4"/>
  <c r="K198" i="2"/>
  <c r="J198" i="2"/>
  <c r="I198" i="2"/>
  <c r="H198" i="2"/>
  <c r="G198" i="2"/>
  <c r="F198" i="2"/>
  <c r="G197" i="2"/>
  <c r="G196" i="2"/>
  <c r="I301" i="1"/>
  <c r="J301" i="1"/>
  <c r="K301" i="1"/>
  <c r="L301" i="1"/>
  <c r="M301" i="1"/>
  <c r="N301" i="1"/>
  <c r="O301" i="1"/>
  <c r="P301" i="1"/>
  <c r="Q301" i="1"/>
  <c r="M300" i="1"/>
  <c r="N300" i="1"/>
  <c r="O300" i="1"/>
  <c r="P300" i="1"/>
  <c r="Q300" i="1"/>
  <c r="L300" i="1"/>
  <c r="K300" i="1"/>
  <c r="I300" i="1"/>
  <c r="J300" i="1"/>
  <c r="J294" i="1"/>
  <c r="J298" i="1" s="1"/>
  <c r="O294" i="1"/>
  <c r="O298" i="1" s="1"/>
  <c r="P294" i="1"/>
  <c r="P298" i="1" s="1"/>
  <c r="Q294" i="1"/>
  <c r="Q298" i="1" s="1"/>
  <c r="F314" i="1"/>
  <c r="G325" i="1"/>
  <c r="F325" i="1"/>
  <c r="G298" i="1"/>
  <c r="H301" i="1" s="1"/>
  <c r="H298" i="1"/>
  <c r="I298" i="1"/>
  <c r="K298" i="1"/>
  <c r="L298" i="1"/>
  <c r="M298" i="1"/>
  <c r="N298" i="1"/>
  <c r="F298" i="1"/>
  <c r="Q323" i="1"/>
  <c r="Q324" i="1" s="1"/>
  <c r="P323" i="1"/>
  <c r="P324" i="1" s="1"/>
  <c r="O323" i="1"/>
  <c r="O324" i="1" s="1"/>
  <c r="N323" i="1"/>
  <c r="N324" i="1" s="1"/>
  <c r="M323" i="1"/>
  <c r="M324" i="1" s="1"/>
  <c r="L323" i="1"/>
  <c r="L324" i="1" s="1"/>
  <c r="K323" i="1"/>
  <c r="K324" i="1" s="1"/>
  <c r="J323" i="1"/>
  <c r="J324" i="1" s="1"/>
  <c r="I323" i="1"/>
  <c r="I324" i="1" s="1"/>
  <c r="H323" i="1"/>
  <c r="H324" i="1" s="1"/>
  <c r="G323" i="1"/>
  <c r="G324" i="1" s="1"/>
  <c r="F323" i="1"/>
  <c r="F324" i="1" s="1"/>
  <c r="I296" i="1"/>
  <c r="I297" i="1" s="1"/>
  <c r="J296" i="1"/>
  <c r="J297" i="1" s="1"/>
  <c r="K296" i="1"/>
  <c r="L296" i="1"/>
  <c r="M296" i="1"/>
  <c r="M297" i="1" s="1"/>
  <c r="N296" i="1"/>
  <c r="N297" i="1" s="1"/>
  <c r="O296" i="1"/>
  <c r="O297" i="1" s="1"/>
  <c r="P296" i="1"/>
  <c r="P297" i="1" s="1"/>
  <c r="Q296" i="1"/>
  <c r="Q297" i="1" s="1"/>
  <c r="G296" i="1"/>
  <c r="G297" i="1" s="1"/>
  <c r="H296" i="1"/>
  <c r="F296" i="1"/>
  <c r="F297" i="1" s="1"/>
  <c r="H297" i="1"/>
  <c r="K297" i="1"/>
  <c r="L297" i="1"/>
  <c r="O37" i="6" l="1"/>
  <c r="F53" i="6"/>
  <c r="F37" i="6"/>
  <c r="F44" i="6"/>
  <c r="L44" i="6"/>
  <c r="L37" i="6"/>
  <c r="L53" i="6"/>
  <c r="G44" i="6"/>
  <c r="G53" i="6"/>
  <c r="M37" i="6"/>
  <c r="M53" i="6"/>
  <c r="M44" i="6"/>
  <c r="M42" i="6"/>
  <c r="M43" i="6" s="1"/>
  <c r="F42" i="6"/>
  <c r="F43" i="6" s="1"/>
  <c r="J37" i="6"/>
  <c r="J53" i="6"/>
  <c r="J44" i="6"/>
  <c r="K44" i="6"/>
  <c r="K53" i="6"/>
  <c r="Q44" i="6"/>
  <c r="Q53" i="6"/>
  <c r="Q37" i="6"/>
  <c r="I56" i="6"/>
  <c r="I65" i="6"/>
  <c r="P37" i="6"/>
  <c r="P53" i="6"/>
  <c r="P44" i="6"/>
  <c r="P42" i="6"/>
  <c r="P43" i="6" s="1"/>
  <c r="G42" i="6"/>
  <c r="G43" i="6" s="1"/>
  <c r="G37" i="6"/>
  <c r="N44" i="6"/>
  <c r="N53" i="6"/>
  <c r="N37" i="6"/>
  <c r="O44" i="6"/>
  <c r="O53" i="6"/>
  <c r="H44" i="6"/>
  <c r="H53" i="6"/>
  <c r="Q122" i="5"/>
  <c r="O122" i="5"/>
  <c r="M122" i="5"/>
  <c r="I122" i="5"/>
  <c r="H121" i="5"/>
  <c r="L121" i="5"/>
  <c r="P121" i="5"/>
  <c r="H28" i="5"/>
  <c r="G121" i="5"/>
  <c r="J123" i="5"/>
  <c r="N123" i="5"/>
  <c r="I121" i="5"/>
  <c r="M121" i="5"/>
  <c r="Q121" i="5"/>
  <c r="J122" i="5"/>
  <c r="N122" i="5"/>
  <c r="G123" i="5"/>
  <c r="K123" i="5"/>
  <c r="O123" i="5"/>
  <c r="J121" i="5"/>
  <c r="N121" i="5"/>
  <c r="H123" i="5"/>
  <c r="L123" i="5"/>
  <c r="P123" i="5"/>
  <c r="K121" i="5"/>
  <c r="O121" i="5"/>
  <c r="H122" i="5"/>
  <c r="L122" i="5"/>
  <c r="P122" i="5"/>
  <c r="I123" i="5"/>
  <c r="M123" i="5"/>
  <c r="Q123" i="5"/>
  <c r="H100" i="5"/>
  <c r="K28" i="5"/>
  <c r="O28" i="5"/>
  <c r="G100" i="5"/>
  <c r="O101" i="5"/>
  <c r="K101" i="5"/>
  <c r="L100" i="5"/>
  <c r="P100" i="5"/>
  <c r="G99" i="5"/>
  <c r="K99" i="5"/>
  <c r="O99" i="5"/>
  <c r="J100" i="5"/>
  <c r="G101" i="5"/>
  <c r="O100" i="5"/>
  <c r="K100" i="5"/>
  <c r="I101" i="5"/>
  <c r="M101" i="5"/>
  <c r="Q101" i="5"/>
  <c r="N100" i="5"/>
  <c r="I99" i="5"/>
  <c r="Q99" i="5"/>
  <c r="H99" i="5"/>
  <c r="L99" i="5"/>
  <c r="P99" i="5"/>
  <c r="I100" i="5"/>
  <c r="M100" i="5"/>
  <c r="Q100" i="5"/>
  <c r="J101" i="5"/>
  <c r="N101" i="5"/>
  <c r="M99" i="5"/>
  <c r="J99" i="5"/>
  <c r="N99" i="5"/>
  <c r="H101" i="5"/>
  <c r="L101" i="5"/>
  <c r="P101" i="5"/>
  <c r="L28" i="5"/>
  <c r="I28" i="5"/>
  <c r="M28" i="5"/>
  <c r="Q28" i="5"/>
  <c r="J28" i="5"/>
  <c r="I30" i="5"/>
  <c r="Q30" i="5"/>
  <c r="P28" i="5"/>
  <c r="N28" i="5"/>
  <c r="M30" i="5"/>
  <c r="J29" i="5"/>
  <c r="N29" i="5"/>
  <c r="J30" i="5"/>
  <c r="K29" i="5"/>
  <c r="O29" i="5"/>
  <c r="N30" i="5"/>
  <c r="I67" i="5"/>
  <c r="I66" i="5"/>
  <c r="J67" i="5"/>
  <c r="J66" i="5"/>
  <c r="N66" i="5"/>
  <c r="N67" i="5"/>
  <c r="G66" i="5"/>
  <c r="G67" i="5"/>
  <c r="K66" i="5"/>
  <c r="K67" i="5"/>
  <c r="O66" i="5"/>
  <c r="O67" i="5"/>
  <c r="M67" i="5"/>
  <c r="M66" i="5"/>
  <c r="H66" i="5"/>
  <c r="H67" i="5"/>
  <c r="L66" i="5"/>
  <c r="L67" i="5"/>
  <c r="P66" i="5"/>
  <c r="P67" i="5"/>
  <c r="Q67" i="5"/>
  <c r="Q66" i="5"/>
  <c r="F16" i="5"/>
  <c r="I29" i="5"/>
  <c r="Q29" i="5"/>
  <c r="K30" i="5"/>
  <c r="O30" i="5"/>
  <c r="F27" i="5"/>
  <c r="H30" i="5"/>
  <c r="L30" i="5"/>
  <c r="P30" i="5"/>
  <c r="M29" i="5"/>
  <c r="H29" i="5"/>
  <c r="L29" i="5"/>
  <c r="P29" i="5"/>
  <c r="Q28" i="4"/>
  <c r="G29" i="4"/>
  <c r="L30" i="4"/>
  <c r="K54" i="4"/>
  <c r="O54" i="4"/>
  <c r="G57" i="4"/>
  <c r="G54" i="4"/>
  <c r="P40" i="4"/>
  <c r="L91" i="4"/>
  <c r="P102" i="4"/>
  <c r="Q39" i="4"/>
  <c r="O28" i="4"/>
  <c r="G28" i="4"/>
  <c r="O91" i="4"/>
  <c r="O39" i="4"/>
  <c r="O109" i="4"/>
  <c r="N109" i="4"/>
  <c r="I106" i="4"/>
  <c r="M106" i="4"/>
  <c r="Q106" i="4"/>
  <c r="L28" i="4"/>
  <c r="N55" i="4"/>
  <c r="O40" i="4"/>
  <c r="Q102" i="4"/>
  <c r="Q105" i="4" s="1"/>
  <c r="H29" i="4"/>
  <c r="M29" i="4"/>
  <c r="N28" i="4"/>
  <c r="H28" i="4"/>
  <c r="G106" i="4"/>
  <c r="K106" i="4"/>
  <c r="O106" i="4"/>
  <c r="M102" i="4"/>
  <c r="M104" i="4" s="1"/>
  <c r="G126" i="4"/>
  <c r="K126" i="4"/>
  <c r="O126" i="4"/>
  <c r="G109" i="4"/>
  <c r="J28" i="4"/>
  <c r="Q40" i="4"/>
  <c r="M28" i="4"/>
  <c r="N54" i="4"/>
  <c r="P91" i="4"/>
  <c r="O102" i="4"/>
  <c r="O104" i="4" s="1"/>
  <c r="L89" i="4"/>
  <c r="P39" i="4"/>
  <c r="I123" i="4"/>
  <c r="Q109" i="4"/>
  <c r="I125" i="4"/>
  <c r="I124" i="4"/>
  <c r="J122" i="4"/>
  <c r="J123" i="4" s="1"/>
  <c r="K111" i="4"/>
  <c r="L122" i="4"/>
  <c r="L125" i="4" s="1"/>
  <c r="L109" i="4"/>
  <c r="M122" i="4"/>
  <c r="M109" i="4"/>
  <c r="N111" i="4"/>
  <c r="P111" i="4"/>
  <c r="P109" i="4"/>
  <c r="Q111" i="4"/>
  <c r="P123" i="4"/>
  <c r="Q123" i="4"/>
  <c r="Q124" i="4"/>
  <c r="Q125" i="4"/>
  <c r="I126" i="4"/>
  <c r="M126" i="4"/>
  <c r="Q126" i="4"/>
  <c r="J126" i="4"/>
  <c r="N126" i="4"/>
  <c r="H126" i="4"/>
  <c r="L126" i="4"/>
  <c r="P126" i="4"/>
  <c r="N122" i="4"/>
  <c r="G122" i="4"/>
  <c r="O122" i="4"/>
  <c r="I102" i="4"/>
  <c r="J105" i="4" s="1"/>
  <c r="I89" i="4"/>
  <c r="H89" i="4"/>
  <c r="G91" i="4"/>
  <c r="G102" i="4"/>
  <c r="G104" i="4" s="1"/>
  <c r="J91" i="4"/>
  <c r="J89" i="4"/>
  <c r="K104" i="4"/>
  <c r="K91" i="4"/>
  <c r="K89" i="4"/>
  <c r="L105" i="4"/>
  <c r="M91" i="4"/>
  <c r="N89" i="4"/>
  <c r="N91" i="4"/>
  <c r="P105" i="4"/>
  <c r="J106" i="4"/>
  <c r="N106" i="4"/>
  <c r="H106" i="4"/>
  <c r="L106" i="4"/>
  <c r="P106" i="4"/>
  <c r="P103" i="4"/>
  <c r="K103" i="4"/>
  <c r="O103" i="4"/>
  <c r="L104" i="4"/>
  <c r="L103" i="4"/>
  <c r="K105" i="4"/>
  <c r="I28" i="4"/>
  <c r="K55" i="4"/>
  <c r="K56" i="4"/>
  <c r="O56" i="4"/>
  <c r="N56" i="4"/>
  <c r="O55" i="4"/>
  <c r="G55" i="4"/>
  <c r="G56" i="4"/>
  <c r="L57" i="4"/>
  <c r="H57" i="4"/>
  <c r="P57" i="4"/>
  <c r="J57" i="4"/>
  <c r="N57" i="4"/>
  <c r="G30" i="4"/>
  <c r="L29" i="4"/>
  <c r="H30" i="4"/>
  <c r="I29" i="4"/>
  <c r="N30" i="4"/>
  <c r="J30" i="4"/>
  <c r="J29" i="4"/>
  <c r="K29" i="4"/>
  <c r="K30" i="4"/>
  <c r="O29" i="4"/>
  <c r="O30" i="4"/>
  <c r="K57" i="4"/>
  <c r="O57" i="4"/>
  <c r="P30" i="4"/>
  <c r="P29" i="4"/>
  <c r="Q29" i="4"/>
  <c r="Q30" i="4"/>
  <c r="I57" i="4"/>
  <c r="M57" i="4"/>
  <c r="Q57" i="4"/>
  <c r="N29" i="4"/>
  <c r="H53" i="4"/>
  <c r="H54" i="4" s="1"/>
  <c r="P53" i="4"/>
  <c r="P54" i="4" s="1"/>
  <c r="I53" i="4"/>
  <c r="Q53" i="4"/>
  <c r="I30" i="4"/>
  <c r="M30" i="4"/>
  <c r="M42" i="4"/>
  <c r="L53" i="4"/>
  <c r="G300" i="1"/>
  <c r="G301" i="1"/>
  <c r="H300" i="1"/>
  <c r="G328" i="1"/>
  <c r="M327" i="1"/>
  <c r="Q56" i="6" l="1"/>
  <c r="Q65" i="6"/>
  <c r="Q49" i="6"/>
  <c r="Q54" i="6"/>
  <c r="Q55" i="6" s="1"/>
  <c r="N56" i="6"/>
  <c r="N65" i="6"/>
  <c r="N54" i="6"/>
  <c r="N55" i="6" s="1"/>
  <c r="N49" i="6"/>
  <c r="I68" i="6"/>
  <c r="I77" i="6"/>
  <c r="I61" i="6"/>
  <c r="I66" i="6"/>
  <c r="I67" i="6" s="1"/>
  <c r="J56" i="6"/>
  <c r="J65" i="6"/>
  <c r="J54" i="6"/>
  <c r="J55" i="6" s="1"/>
  <c r="J49" i="6"/>
  <c r="H56" i="6"/>
  <c r="H65" i="6"/>
  <c r="H54" i="6"/>
  <c r="H55" i="6" s="1"/>
  <c r="H49" i="6"/>
  <c r="G56" i="6"/>
  <c r="G65" i="6"/>
  <c r="G49" i="6"/>
  <c r="G54" i="6"/>
  <c r="G55" i="6" s="1"/>
  <c r="O56" i="6"/>
  <c r="O65" i="6"/>
  <c r="O54" i="6"/>
  <c r="O55" i="6" s="1"/>
  <c r="O49" i="6"/>
  <c r="K56" i="6"/>
  <c r="K65" i="6"/>
  <c r="K49" i="6"/>
  <c r="K54" i="6"/>
  <c r="K55" i="6" s="1"/>
  <c r="M49" i="6"/>
  <c r="M56" i="6"/>
  <c r="M65" i="6"/>
  <c r="M54" i="6"/>
  <c r="M55" i="6" s="1"/>
  <c r="L56" i="6"/>
  <c r="L65" i="6"/>
  <c r="L54" i="6"/>
  <c r="L55" i="6" s="1"/>
  <c r="L49" i="6"/>
  <c r="P56" i="6"/>
  <c r="P65" i="6"/>
  <c r="P49" i="6"/>
  <c r="P54" i="6"/>
  <c r="P55" i="6" s="1"/>
  <c r="F49" i="6"/>
  <c r="F65" i="6"/>
  <c r="F54" i="6"/>
  <c r="F55" i="6" s="1"/>
  <c r="F56" i="6"/>
  <c r="G29" i="5"/>
  <c r="G28" i="5"/>
  <c r="G30" i="5"/>
  <c r="N104" i="4"/>
  <c r="P104" i="4"/>
  <c r="O105" i="4"/>
  <c r="N105" i="4"/>
  <c r="H103" i="4"/>
  <c r="M105" i="4"/>
  <c r="G103" i="4"/>
  <c r="K123" i="4"/>
  <c r="Q103" i="4"/>
  <c r="M103" i="4"/>
  <c r="Q104" i="4"/>
  <c r="N103" i="4"/>
  <c r="J124" i="4"/>
  <c r="Q54" i="4"/>
  <c r="H105" i="4"/>
  <c r="H104" i="4"/>
  <c r="G105" i="4"/>
  <c r="J125" i="4"/>
  <c r="K125" i="4"/>
  <c r="K124" i="4"/>
  <c r="L123" i="4"/>
  <c r="M124" i="4"/>
  <c r="L124" i="4"/>
  <c r="M125" i="4"/>
  <c r="M123" i="4"/>
  <c r="O124" i="4"/>
  <c r="O123" i="4"/>
  <c r="O125" i="4"/>
  <c r="N123" i="4"/>
  <c r="N124" i="4"/>
  <c r="N125" i="4"/>
  <c r="P125" i="4"/>
  <c r="H125" i="4"/>
  <c r="G124" i="4"/>
  <c r="H123" i="4"/>
  <c r="G123" i="4"/>
  <c r="G125" i="4"/>
  <c r="H124" i="4"/>
  <c r="P124" i="4"/>
  <c r="J103" i="4"/>
  <c r="J104" i="4"/>
  <c r="I105" i="4"/>
  <c r="I104" i="4"/>
  <c r="I103" i="4"/>
  <c r="L54" i="4"/>
  <c r="M54" i="4"/>
  <c r="H55" i="4"/>
  <c r="H56" i="4"/>
  <c r="I54" i="4"/>
  <c r="I56" i="4"/>
  <c r="J56" i="4"/>
  <c r="J55" i="4"/>
  <c r="I55" i="4"/>
  <c r="J54" i="4"/>
  <c r="L56" i="4"/>
  <c r="M55" i="4"/>
  <c r="L55" i="4"/>
  <c r="M56" i="4"/>
  <c r="Q56" i="4"/>
  <c r="P56" i="4"/>
  <c r="Q55" i="4"/>
  <c r="P55" i="4"/>
  <c r="H327" i="1"/>
  <c r="I327" i="1"/>
  <c r="J327" i="1"/>
  <c r="K327" i="1"/>
  <c r="L327" i="1"/>
  <c r="N327" i="1"/>
  <c r="O327" i="1"/>
  <c r="P327" i="1"/>
  <c r="Q327" i="1"/>
  <c r="G327" i="1"/>
  <c r="Q314" i="1"/>
  <c r="P314" i="1"/>
  <c r="O314" i="1"/>
  <c r="N314" i="1"/>
  <c r="M314" i="1"/>
  <c r="L314" i="1"/>
  <c r="K314" i="1"/>
  <c r="J314" i="1"/>
  <c r="I314" i="1"/>
  <c r="H314" i="1"/>
  <c r="G314" i="1"/>
  <c r="G313" i="1"/>
  <c r="F313" i="1"/>
  <c r="Q213" i="2"/>
  <c r="I286" i="1"/>
  <c r="L286" i="1"/>
  <c r="M286" i="1"/>
  <c r="P286" i="1"/>
  <c r="Q286" i="1"/>
  <c r="R273" i="1"/>
  <c r="R265" i="1"/>
  <c r="R257" i="1"/>
  <c r="R249" i="1"/>
  <c r="R241" i="1"/>
  <c r="R233" i="1"/>
  <c r="R225" i="1"/>
  <c r="R217" i="1"/>
  <c r="R209" i="1"/>
  <c r="R201" i="1"/>
  <c r="R193" i="1"/>
  <c r="R185" i="1"/>
  <c r="R177" i="1"/>
  <c r="R169" i="1"/>
  <c r="R161" i="1"/>
  <c r="R153" i="1"/>
  <c r="R145" i="1"/>
  <c r="R137" i="1"/>
  <c r="R129" i="1"/>
  <c r="R121" i="1"/>
  <c r="R113" i="1"/>
  <c r="R105" i="1"/>
  <c r="R97" i="1"/>
  <c r="R89" i="1"/>
  <c r="R81" i="1"/>
  <c r="R65" i="1"/>
  <c r="R57" i="1"/>
  <c r="R49" i="1"/>
  <c r="R41" i="1"/>
  <c r="R25" i="1"/>
  <c r="I213" i="2"/>
  <c r="M213" i="2"/>
  <c r="G220" i="2"/>
  <c r="G212" i="2" s="1"/>
  <c r="H220" i="2"/>
  <c r="H212" i="2" s="1"/>
  <c r="I220" i="2"/>
  <c r="I212" i="2" s="1"/>
  <c r="J220" i="2"/>
  <c r="J212" i="2" s="1"/>
  <c r="K220" i="2"/>
  <c r="K212" i="2" s="1"/>
  <c r="L220" i="2"/>
  <c r="L212" i="2" s="1"/>
  <c r="M220" i="2"/>
  <c r="M212" i="2" s="1"/>
  <c r="N220" i="2"/>
  <c r="N212" i="2" s="1"/>
  <c r="O220" i="2"/>
  <c r="O212" i="2" s="1"/>
  <c r="P220" i="2"/>
  <c r="P212" i="2" s="1"/>
  <c r="Q220" i="2"/>
  <c r="Q212" i="2" s="1"/>
  <c r="F220" i="2"/>
  <c r="F212" i="2" s="1"/>
  <c r="G190" i="2"/>
  <c r="G182" i="2" s="1"/>
  <c r="H182" i="2"/>
  <c r="J182" i="2"/>
  <c r="K182" i="2"/>
  <c r="L182" i="2"/>
  <c r="M182" i="2"/>
  <c r="O182" i="2"/>
  <c r="P182" i="2"/>
  <c r="Q182" i="2"/>
  <c r="F190" i="2"/>
  <c r="F182" i="2" s="1"/>
  <c r="H321" i="1"/>
  <c r="H325" i="1" s="1"/>
  <c r="H328" i="1" s="1"/>
  <c r="I321" i="1"/>
  <c r="I325" i="1" s="1"/>
  <c r="I328" i="1" s="1"/>
  <c r="J321" i="1"/>
  <c r="J325" i="1" s="1"/>
  <c r="K321" i="1"/>
  <c r="K325" i="1" s="1"/>
  <c r="K328" i="1" s="1"/>
  <c r="L321" i="1"/>
  <c r="L325" i="1" s="1"/>
  <c r="M321" i="1"/>
  <c r="M325" i="1" s="1"/>
  <c r="M328" i="1" s="1"/>
  <c r="N321" i="1"/>
  <c r="N325" i="1" s="1"/>
  <c r="O321" i="1"/>
  <c r="O325" i="1" s="1"/>
  <c r="O328" i="1" s="1"/>
  <c r="P321" i="1"/>
  <c r="P325" i="1" s="1"/>
  <c r="Q321" i="1"/>
  <c r="Q325" i="1" s="1"/>
  <c r="Q328" i="1" s="1"/>
  <c r="F321" i="1"/>
  <c r="H286" i="1"/>
  <c r="F286" i="1"/>
  <c r="O183" i="2"/>
  <c r="K183" i="2"/>
  <c r="G183" i="2"/>
  <c r="N182" i="2"/>
  <c r="I182" i="2"/>
  <c r="G286" i="1"/>
  <c r="J286" i="1"/>
  <c r="K286" i="1"/>
  <c r="N286" i="1"/>
  <c r="O286" i="1"/>
  <c r="G287" i="1"/>
  <c r="H287" i="1"/>
  <c r="I287" i="1"/>
  <c r="J287" i="1"/>
  <c r="K287" i="1"/>
  <c r="L287" i="1"/>
  <c r="M287" i="1"/>
  <c r="N287" i="1"/>
  <c r="O287" i="1"/>
  <c r="P287" i="1"/>
  <c r="Q287" i="1"/>
  <c r="F287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7" i="1"/>
  <c r="E346" i="1"/>
  <c r="E345" i="1"/>
  <c r="E344" i="1"/>
  <c r="E342" i="1"/>
  <c r="E341" i="1"/>
  <c r="F68" i="6" l="1"/>
  <c r="F77" i="6"/>
  <c r="F61" i="6"/>
  <c r="F66" i="6"/>
  <c r="F67" i="6" s="1"/>
  <c r="P61" i="6"/>
  <c r="P77" i="6"/>
  <c r="P68" i="6"/>
  <c r="P66" i="6"/>
  <c r="P67" i="6" s="1"/>
  <c r="L66" i="6"/>
  <c r="L67" i="6" s="1"/>
  <c r="L77" i="6"/>
  <c r="L68" i="6"/>
  <c r="L61" i="6"/>
  <c r="K68" i="6"/>
  <c r="K77" i="6"/>
  <c r="K61" i="6"/>
  <c r="K66" i="6"/>
  <c r="K67" i="6" s="1"/>
  <c r="O68" i="6"/>
  <c r="O77" i="6"/>
  <c r="O61" i="6"/>
  <c r="O66" i="6"/>
  <c r="O67" i="6" s="1"/>
  <c r="G68" i="6"/>
  <c r="G77" i="6"/>
  <c r="G66" i="6"/>
  <c r="G67" i="6" s="1"/>
  <c r="G61" i="6"/>
  <c r="H68" i="6"/>
  <c r="H77" i="6"/>
  <c r="H61" i="6"/>
  <c r="H66" i="6"/>
  <c r="H67" i="6" s="1"/>
  <c r="J61" i="6"/>
  <c r="J77" i="6"/>
  <c r="J66" i="6"/>
  <c r="J67" i="6" s="1"/>
  <c r="J68" i="6"/>
  <c r="I80" i="6"/>
  <c r="I73" i="6"/>
  <c r="I78" i="6"/>
  <c r="I79" i="6" s="1"/>
  <c r="N68" i="6"/>
  <c r="N77" i="6"/>
  <c r="N66" i="6"/>
  <c r="N67" i="6" s="1"/>
  <c r="N61" i="6"/>
  <c r="Q68" i="6"/>
  <c r="Q77" i="6"/>
  <c r="Q66" i="6"/>
  <c r="Q67" i="6" s="1"/>
  <c r="Q61" i="6"/>
  <c r="M68" i="6"/>
  <c r="M61" i="6"/>
  <c r="M77" i="6"/>
  <c r="M66" i="6"/>
  <c r="M67" i="6" s="1"/>
  <c r="I313" i="1"/>
  <c r="M313" i="1"/>
  <c r="Q313" i="1"/>
  <c r="P328" i="1"/>
  <c r="L328" i="1"/>
  <c r="J313" i="1"/>
  <c r="N313" i="1"/>
  <c r="K313" i="1"/>
  <c r="O313" i="1"/>
  <c r="N328" i="1"/>
  <c r="J328" i="1"/>
  <c r="H313" i="1"/>
  <c r="L313" i="1"/>
  <c r="P313" i="1"/>
  <c r="P194" i="2"/>
  <c r="P192" i="2"/>
  <c r="P193" i="2" s="1"/>
  <c r="L194" i="2"/>
  <c r="L192" i="2"/>
  <c r="L193" i="2" s="1"/>
  <c r="H194" i="2"/>
  <c r="H192" i="2"/>
  <c r="H193" i="2" s="1"/>
  <c r="O222" i="2"/>
  <c r="O223" i="2" s="1"/>
  <c r="O224" i="2"/>
  <c r="K222" i="2"/>
  <c r="K223" i="2" s="1"/>
  <c r="K224" i="2"/>
  <c r="G222" i="2"/>
  <c r="G223" i="2" s="1"/>
  <c r="G224" i="2"/>
  <c r="Q224" i="2"/>
  <c r="Q222" i="2"/>
  <c r="Q223" i="2" s="1"/>
  <c r="L183" i="2"/>
  <c r="O194" i="2"/>
  <c r="O192" i="2"/>
  <c r="O193" i="2" s="1"/>
  <c r="K194" i="2"/>
  <c r="K192" i="2"/>
  <c r="K193" i="2" s="1"/>
  <c r="G194" i="2"/>
  <c r="G192" i="2"/>
  <c r="G193" i="2" s="1"/>
  <c r="N222" i="2"/>
  <c r="N223" i="2" s="1"/>
  <c r="N224" i="2"/>
  <c r="J222" i="2"/>
  <c r="J223" i="2" s="1"/>
  <c r="J224" i="2"/>
  <c r="F222" i="2"/>
  <c r="F223" i="2" s="1"/>
  <c r="F224" i="2"/>
  <c r="F213" i="2"/>
  <c r="J213" i="2"/>
  <c r="N213" i="2"/>
  <c r="N183" i="2"/>
  <c r="N192" i="2"/>
  <c r="N193" i="2" s="1"/>
  <c r="N194" i="2"/>
  <c r="J183" i="2"/>
  <c r="J192" i="2"/>
  <c r="J193" i="2" s="1"/>
  <c r="J194" i="2"/>
  <c r="F183" i="2"/>
  <c r="F192" i="2"/>
  <c r="F193" i="2" s="1"/>
  <c r="F194" i="2"/>
  <c r="M224" i="2"/>
  <c r="M222" i="2"/>
  <c r="M223" i="2" s="1"/>
  <c r="I224" i="2"/>
  <c r="I222" i="2"/>
  <c r="I223" i="2" s="1"/>
  <c r="G213" i="2"/>
  <c r="K213" i="2"/>
  <c r="O213" i="2"/>
  <c r="H183" i="2"/>
  <c r="P183" i="2"/>
  <c r="Q183" i="2"/>
  <c r="Q194" i="2"/>
  <c r="Q192" i="2"/>
  <c r="Q193" i="2" s="1"/>
  <c r="M183" i="2"/>
  <c r="M194" i="2"/>
  <c r="M192" i="2"/>
  <c r="M193" i="2" s="1"/>
  <c r="I183" i="2"/>
  <c r="I194" i="2"/>
  <c r="I192" i="2"/>
  <c r="I193" i="2" s="1"/>
  <c r="P224" i="2"/>
  <c r="P222" i="2"/>
  <c r="P223" i="2" s="1"/>
  <c r="L224" i="2"/>
  <c r="L222" i="2"/>
  <c r="L223" i="2" s="1"/>
  <c r="H224" i="2"/>
  <c r="H222" i="2"/>
  <c r="H223" i="2" s="1"/>
  <c r="H213" i="2"/>
  <c r="L213" i="2"/>
  <c r="P213" i="2"/>
  <c r="M80" i="6" l="1"/>
  <c r="M73" i="6"/>
  <c r="M78" i="6"/>
  <c r="M79" i="6" s="1"/>
  <c r="J73" i="6"/>
  <c r="J80" i="6"/>
  <c r="J78" i="6"/>
  <c r="J79" i="6" s="1"/>
  <c r="H73" i="6"/>
  <c r="H80" i="6"/>
  <c r="H78" i="6"/>
  <c r="H79" i="6" s="1"/>
  <c r="G80" i="6"/>
  <c r="G73" i="6"/>
  <c r="G78" i="6"/>
  <c r="G79" i="6" s="1"/>
  <c r="O80" i="6"/>
  <c r="O73" i="6"/>
  <c r="O78" i="6"/>
  <c r="O79" i="6" s="1"/>
  <c r="K73" i="6"/>
  <c r="K80" i="6"/>
  <c r="K78" i="6"/>
  <c r="K79" i="6" s="1"/>
  <c r="L73" i="6"/>
  <c r="L78" i="6"/>
  <c r="L79" i="6" s="1"/>
  <c r="L80" i="6"/>
  <c r="P73" i="6"/>
  <c r="P80" i="6"/>
  <c r="P78" i="6"/>
  <c r="P79" i="6" s="1"/>
  <c r="F78" i="6"/>
  <c r="F79" i="6" s="1"/>
  <c r="F73" i="6"/>
  <c r="F80" i="6"/>
  <c r="Q80" i="6"/>
  <c r="Q73" i="6"/>
  <c r="Q78" i="6"/>
  <c r="Q79" i="6" s="1"/>
  <c r="N73" i="6"/>
  <c r="N80" i="6"/>
  <c r="N78" i="6"/>
  <c r="N79" i="6" s="1"/>
  <c r="H197" i="2"/>
  <c r="H196" i="2"/>
  <c r="J196" i="2"/>
  <c r="I197" i="2"/>
  <c r="J197" i="2"/>
  <c r="I196" i="2"/>
  <c r="K196" i="2"/>
  <c r="K197" i="2"/>
  <c r="L196" i="2"/>
  <c r="L197" i="2"/>
  <c r="M196" i="2"/>
  <c r="M197" i="2"/>
  <c r="N197" i="2"/>
  <c r="N196" i="2"/>
  <c r="O197" i="2"/>
  <c r="O196" i="2"/>
  <c r="P196" i="2"/>
  <c r="P197" i="2"/>
  <c r="Q196" i="2"/>
  <c r="Q197" i="2"/>
</calcChain>
</file>

<file path=xl/sharedStrings.xml><?xml version="1.0" encoding="utf-8"?>
<sst xmlns="http://schemas.openxmlformats.org/spreadsheetml/2006/main" count="895" uniqueCount="99">
  <si>
    <t>rec_id</t>
  </si>
  <si>
    <t>yrmodsize</t>
  </si>
  <si>
    <t>objective</t>
  </si>
  <si>
    <t>Dyno Test</t>
  </si>
  <si>
    <t>lr</t>
  </si>
  <si>
    <t>  DFF x2         mWheel = 85        spr rate = .96        lev ratio = .90        </t>
  </si>
  <si>
    <t>co</t>
  </si>
  <si>
    <t>ro</t>
  </si>
  <si>
    <t>rcoef</t>
  </si>
  <si>
    <t>rzeta</t>
  </si>
  <si>
    <t>r/c</t>
  </si>
  <si>
    <t>Stock Dyno</t>
  </si>
  <si>
    <t xml:space="preserve"> x2</t>
  </si>
  <si>
    <t xml:space="preserve"> x1</t>
  </si>
  <si>
    <t>zeta_fkr_aver_33tests.xlsx</t>
  </si>
  <si>
    <t xml:space="preserve"> 7-30-17</t>
  </si>
  <si>
    <t xml:space="preserve"> goto row 275</t>
  </si>
  <si>
    <t>GP Spec Sheet</t>
  </si>
  <si>
    <t xml:space="preserve"> goto row 175</t>
  </si>
  <si>
    <t xml:space="preserve"> 33 tests, eliminate 11, total tests = 22</t>
  </si>
  <si>
    <t xml:space="preserve"> these are the 9 stiffer tests</t>
  </si>
  <si>
    <t xml:space="preserve"> (not counting line 26 and 66)</t>
  </si>
  <si>
    <t xml:space="preserve"> 10 average tests</t>
  </si>
  <si>
    <t xml:space="preserve"> 10 stiffer tests</t>
  </si>
  <si>
    <t xml:space="preserve"> [reb is stiffer on this group]</t>
  </si>
  <si>
    <t xml:space="preserve"> spr rate </t>
  </si>
  <si>
    <t xml:space="preserve"> mWheel </t>
  </si>
  <si>
    <t xml:space="preserve"> lev ratio </t>
  </si>
  <si>
    <t xml:space="preserve"> &lt;-- copy of zeta</t>
  </si>
  <si>
    <t xml:space="preserve"> &lt;-- adjust reb to get desired zeta</t>
  </si>
  <si>
    <t xml:space="preserve"> &lt;-- copy of reb</t>
  </si>
  <si>
    <t>lscircut_enabled tab and</t>
  </si>
  <si>
    <t>to better match fkr target nu</t>
  </si>
  <si>
    <t xml:space="preserve">we went up here base on </t>
  </si>
  <si>
    <t xml:space="preserve">at 3.8 </t>
  </si>
  <si>
    <t xml:space="preserve"> &lt;-- copy of comp</t>
  </si>
  <si>
    <t xml:space="preserve"> 9 stiffer tests</t>
  </si>
  <si>
    <t xml:space="preserve"> 22 average tests</t>
  </si>
  <si>
    <t xml:space="preserve">  &lt;-- use reb from below</t>
  </si>
  <si>
    <t xml:space="preserve">  &lt;-- to get zeta (same as below)</t>
  </si>
  <si>
    <t xml:space="preserve">  &lt;-- create r/c for aver comp</t>
  </si>
  <si>
    <t xml:space="preserve">  &lt;-- use this zeta as guideline for .96 spr</t>
  </si>
  <si>
    <t xml:space="preserve"> remember,no ls circuit --&gt;</t>
  </si>
  <si>
    <t xml:space="preserve">  &lt;-- create r/c for aver comp with ls circuit</t>
  </si>
  <si>
    <t xml:space="preserve">  &lt;-- just compare (with ls circuit)</t>
  </si>
  <si>
    <r>
      <t xml:space="preserve"> this is a compliation to use on   </t>
    </r>
    <r>
      <rPr>
        <b/>
        <sz val="10"/>
        <color theme="1"/>
        <rFont val="Arial"/>
        <family val="2"/>
      </rPr>
      <t xml:space="preserve"> fk zeta target nu averComp </t>
    </r>
    <r>
      <rPr>
        <sz val="10"/>
        <color theme="1"/>
        <rFont val="Arial"/>
        <family val="2"/>
      </rPr>
      <t xml:space="preserve">   etc</t>
    </r>
  </si>
  <si>
    <t xml:space="preserve"> ls circuti disabled</t>
  </si>
  <si>
    <t xml:space="preserve"> 33 tests with ls circuit disabled  (not all tests used, see other tabs for details)</t>
  </si>
  <si>
    <t xml:space="preserve"> 20 test with ls circuit enabled  (not all tests used, see other tabs for details)</t>
  </si>
  <si>
    <t>no ls circuit --&gt;</t>
  </si>
  <si>
    <t xml:space="preserve">  &lt;-- create r/c for stiff+2 comp</t>
  </si>
  <si>
    <t xml:space="preserve">  &lt;-- this is stiff+2 from the 9 aver tests</t>
  </si>
  <si>
    <t xml:space="preserve"> zeta</t>
  </si>
  <si>
    <t xml:space="preserve"> we tweaked comp to -----&gt;</t>
  </si>
  <si>
    <t xml:space="preserve"> to match stiff+2 from chart</t>
  </si>
  <si>
    <t>stiff+2</t>
  </si>
  <si>
    <t>aver</t>
  </si>
  <si>
    <t>stiff+1</t>
  </si>
  <si>
    <t>stiff</t>
  </si>
  <si>
    <t xml:space="preserve"> SUMMARY OF ALL NUMBERS AND NEW GRAPH SO WE CAN COPY NUMBERS TO VDB</t>
  </si>
  <si>
    <t xml:space="preserve"> WE COPIED AND PASTED AS VALUES SO WE CAN'T CHANGE ANYTHING ABOVE</t>
  </si>
  <si>
    <t xml:space="preserve"> 2.61</t>
  </si>
  <si>
    <t xml:space="preserve"> 4.35</t>
  </si>
  <si>
    <t xml:space="preserve"> graph size was</t>
  </si>
  <si>
    <t xml:space="preserve">  &lt;-- create r/c for stiff+1 comp</t>
  </si>
  <si>
    <t xml:space="preserve">  &lt;-- create r/c for stiff comp</t>
  </si>
  <si>
    <t xml:space="preserve"> [reb is stiffer on this group</t>
  </si>
  <si>
    <t xml:space="preserve"> but we used same reb for zeta]</t>
  </si>
  <si>
    <t xml:space="preserve"> 10 tests with ls circuit disabled  (not all tests used, see other tabs for details)</t>
  </si>
  <si>
    <t xml:space="preserve"> 10 test with ls circuit enabled  (not all tests used, see other tabs for details)</t>
  </si>
  <si>
    <t xml:space="preserve">  ls circuit disabled</t>
  </si>
  <si>
    <t xml:space="preserve"> 10 average tests </t>
  </si>
  <si>
    <t xml:space="preserve"> with ls circuit enabled</t>
  </si>
  <si>
    <t xml:space="preserve">  &lt;-- create r/c for stiff+2 comp with ls circuit</t>
  </si>
  <si>
    <t xml:space="preserve"> use stiff+2 from other tab</t>
  </si>
  <si>
    <t xml:space="preserve">  &lt;-- create r/c for stiff comp with ls circuit</t>
  </si>
  <si>
    <t xml:space="preserve">  &lt;-- create r/c for stiff+1 comp with ls circuit</t>
  </si>
  <si>
    <t xml:space="preserve"> aver</t>
  </si>
  <si>
    <t>ddddd</t>
  </si>
  <si>
    <t xml:space="preserve"> 8-2-17</t>
  </si>
  <si>
    <t xml:space="preserve">  create linear reb zeta for .96 spring</t>
  </si>
  <si>
    <t xml:space="preserve">  does not account for ls circuit as numbers are based on linear reb zeta</t>
  </si>
  <si>
    <t xml:space="preserve"> linear reb zeta of .7</t>
  </si>
  <si>
    <t xml:space="preserve"> linear reb zeta of .65</t>
  </si>
  <si>
    <t xml:space="preserve"> linear reb zeta of .60</t>
  </si>
  <si>
    <t xml:space="preserve"> linear reb zeta of .55</t>
  </si>
  <si>
    <t xml:space="preserve"> linear reb zeta of .50</t>
  </si>
  <si>
    <t xml:space="preserve"> linear reb zeta of .45</t>
  </si>
  <si>
    <r>
      <t xml:space="preserve"> 33 tests from Yamaha, kyb_35_24_12.5    </t>
    </r>
    <r>
      <rPr>
        <b/>
        <sz val="10"/>
        <color rgb="FFFF0000"/>
        <rFont val="Arial"/>
        <family val="2"/>
      </rPr>
      <t>with ls circuit disabled</t>
    </r>
  </si>
  <si>
    <t xml:space="preserve"> tests 1493 thru 2151 from  All Dyno Tests &gt; Yamaha fk &gt; [fk rzeta + r/c]</t>
  </si>
  <si>
    <r>
      <t xml:space="preserve"> 33 tests from Yamaha, kyb_35_24_12.5    </t>
    </r>
    <r>
      <rPr>
        <b/>
        <sz val="10"/>
        <color rgb="FFFF0000"/>
        <rFont val="Arial"/>
        <family val="2"/>
      </rPr>
      <t>with ls circuit enabled</t>
    </r>
  </si>
  <si>
    <t>We got all these tests from All Dyno Tests as per above.</t>
  </si>
  <si>
    <t>But as of 2-21-18 we are focusing more on comp zeta than r/c ratio.</t>
  </si>
  <si>
    <t>See zeta_shc_aver_33tests.xlsx for c-zeta.</t>
  </si>
  <si>
    <t>See comments on  lscircuit_disabled  tab.</t>
  </si>
  <si>
    <t>fork reb zeta</t>
  </si>
  <si>
    <t>We came up with r/c ratio numbers for the fork and put on vdb in   Fk Dyno &gt; [fk reb zeta] &gt; [fk reb zeta - adjust].</t>
  </si>
  <si>
    <t>fork r/c ratio</t>
  </si>
  <si>
    <t xml:space="preserve"> 2-21-18 --&gt; Truth is we are not exactly sure what this is or how we decided to do it as there were no detailed notes from 7-30-17.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</si>
</sst>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8" x14ac:knownFonts="1"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9"/>
      <color theme="1"/>
      <name val="Trebuchet MS"/>
      <family val="2"/>
    </font>
    <font>
      <sz val="8"/>
      <color theme="1"/>
      <name val="Trebuchet MS"/>
      <family val="2"/>
    </font>
    <font>
      <sz val="9"/>
      <color rgb="FF828282"/>
      <name val="Trebuchet MS"/>
      <family val="2"/>
    </font>
    <font>
      <sz val="8"/>
      <color rgb="FF828282"/>
      <name val="Trebuchet MS"/>
      <family val="2"/>
    </font>
    <font>
      <sz val="9"/>
      <color rgb="FFB34040"/>
      <name val="Trebuchet MS"/>
      <family val="2"/>
    </font>
    <font>
      <sz val="8"/>
      <color theme="1"/>
      <name val="Arial"/>
      <family val="2"/>
    </font>
    <font>
      <sz val="10"/>
      <color theme="9" tint="-0.249977111117893"/>
      <name val="Arial"/>
      <family val="2"/>
    </font>
    <font>
      <sz val="10"/>
      <color rgb="FFC00000"/>
      <name val="Arial"/>
      <family val="2"/>
    </font>
    <font>
      <b/>
      <sz val="10"/>
      <color rgb="FFFF0000"/>
      <name val="Arial"/>
      <family val="2"/>
    </font>
    <font>
      <sz val="10"/>
      <color rgb="FF0070C0"/>
      <name val="Arial"/>
      <family val="2"/>
    </font>
    <font>
      <sz val="8"/>
      <color rgb="FF0070C0"/>
      <name val="Trebuchet MS"/>
      <family val="2"/>
    </font>
    <font>
      <sz val="8"/>
      <name val="Trebuchet MS"/>
      <family val="2"/>
    </font>
    <font>
      <sz val="8"/>
      <color rgb="FFC00000"/>
      <name val="Arial"/>
      <family val="2"/>
    </font>
    <font>
      <sz val="10"/>
      <color theme="1" tint="0.499984740745262"/>
      <name val="Arial"/>
      <family val="2"/>
    </font>
    <font>
      <sz val="10"/>
      <color rgb="FF008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7DAC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rgb="FFF0E8DB"/>
      </left>
      <right style="thin">
        <color rgb="FFF0E8DB"/>
      </right>
      <top style="thin">
        <color rgb="FFF0E8DB"/>
      </top>
      <bottom style="thin">
        <color rgb="FFF0E8DB"/>
      </bottom>
      <diagonal/>
    </border>
    <border>
      <left style="thin">
        <color rgb="FFF0E8DB"/>
      </left>
      <right style="thin">
        <color rgb="FFF0E8DB"/>
      </right>
      <top style="thin">
        <color rgb="FFF0E8DB"/>
      </top>
      <bottom/>
      <diagonal/>
    </border>
    <border>
      <left style="thin">
        <color rgb="FFF0E8DB"/>
      </left>
      <right style="thin">
        <color rgb="FFF0E8DB"/>
      </right>
      <top/>
      <bottom/>
      <diagonal/>
    </border>
    <border>
      <left style="thin">
        <color rgb="FFF0E8DB"/>
      </left>
      <right style="thin">
        <color rgb="FFF0E8DB"/>
      </right>
      <top/>
      <bottom style="thin">
        <color rgb="FFF0E8DB"/>
      </bottom>
      <diagonal/>
    </border>
    <border>
      <left style="thin">
        <color rgb="FFF0E8DB"/>
      </left>
      <right/>
      <top style="thin">
        <color rgb="FFF0E8DB"/>
      </top>
      <bottom style="thin">
        <color rgb="FFF0E8DB"/>
      </bottom>
      <diagonal/>
    </border>
    <border>
      <left/>
      <right/>
      <top style="thin">
        <color rgb="FFF0E8DB"/>
      </top>
      <bottom style="thin">
        <color rgb="FFF0E8DB"/>
      </bottom>
      <diagonal/>
    </border>
    <border>
      <left/>
      <right style="thin">
        <color rgb="FFF0E8DB"/>
      </right>
      <top style="thin">
        <color rgb="FFF0E8DB"/>
      </top>
      <bottom style="thin">
        <color rgb="FFF0E8DB"/>
      </bottom>
      <diagonal/>
    </border>
    <border>
      <left style="thin">
        <color rgb="FFF0E8DB"/>
      </left>
      <right/>
      <top/>
      <bottom style="thin">
        <color rgb="FFF0E8DB"/>
      </bottom>
      <diagonal/>
    </border>
    <border>
      <left/>
      <right/>
      <top/>
      <bottom style="thin">
        <color rgb="FFF0E8DB"/>
      </bottom>
      <diagonal/>
    </border>
    <border>
      <left/>
      <right style="thin">
        <color rgb="FFF0E8DB"/>
      </right>
      <top/>
      <bottom style="thin">
        <color rgb="FFF0E8DB"/>
      </bottom>
      <diagonal/>
    </border>
    <border>
      <left style="thin">
        <color rgb="FFF0E8DB"/>
      </left>
      <right/>
      <top style="thin">
        <color rgb="FFF0E8DB"/>
      </top>
      <bottom style="thin">
        <color rgb="FFCC6600"/>
      </bottom>
      <diagonal/>
    </border>
    <border>
      <left/>
      <right/>
      <top style="thin">
        <color rgb="FFF0E8DB"/>
      </top>
      <bottom style="thin">
        <color rgb="FFCC6600"/>
      </bottom>
      <diagonal/>
    </border>
    <border>
      <left/>
      <right style="thin">
        <color rgb="FFF0E8DB"/>
      </right>
      <top style="thin">
        <color rgb="FFF0E8DB"/>
      </top>
      <bottom style="thin">
        <color rgb="FFCC66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F0E8DB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4" xfId="0" applyBorder="1"/>
    <xf numFmtId="0" fontId="0" fillId="0" borderId="0" xfId="0" quotePrefix="1" applyAlignment="1">
      <alignment horizontal="left"/>
    </xf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4" fontId="3" fillId="4" borderId="3" xfId="0" applyNumberFormat="1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4" fontId="3" fillId="5" borderId="3" xfId="0" applyNumberFormat="1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center" wrapText="1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8" fillId="0" borderId="0" xfId="0" applyFont="1"/>
    <xf numFmtId="164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9" fillId="0" borderId="0" xfId="0" applyFont="1"/>
    <xf numFmtId="0" fontId="10" fillId="0" borderId="0" xfId="0" applyFont="1"/>
    <xf numFmtId="0" fontId="10" fillId="0" borderId="0" xfId="0" quotePrefix="1" applyFont="1" applyAlignment="1">
      <alignment horizontal="left"/>
    </xf>
    <xf numFmtId="0" fontId="11" fillId="0" borderId="0" xfId="0" applyFont="1"/>
    <xf numFmtId="2" fontId="0" fillId="0" borderId="0" xfId="0" applyNumberFormat="1"/>
    <xf numFmtId="0" fontId="0" fillId="0" borderId="16" xfId="0" quotePrefix="1" applyBorder="1" applyAlignment="1">
      <alignment horizontal="right"/>
    </xf>
    <xf numFmtId="0" fontId="12" fillId="0" borderId="16" xfId="0" applyFont="1" applyBorder="1"/>
    <xf numFmtId="0" fontId="0" fillId="0" borderId="0" xfId="0" quotePrefix="1" applyBorder="1" applyAlignment="1">
      <alignment horizontal="right"/>
    </xf>
    <xf numFmtId="0" fontId="12" fillId="0" borderId="0" xfId="0" applyFont="1" applyBorder="1"/>
    <xf numFmtId="0" fontId="12" fillId="0" borderId="0" xfId="0" applyFont="1"/>
    <xf numFmtId="164" fontId="13" fillId="0" borderId="1" xfId="0" applyNumberFormat="1" applyFont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2" fontId="10" fillId="0" borderId="0" xfId="0" applyNumberFormat="1" applyFont="1"/>
    <xf numFmtId="165" fontId="10" fillId="0" borderId="0" xfId="0" applyNumberFormat="1" applyFont="1"/>
    <xf numFmtId="0" fontId="2" fillId="0" borderId="0" xfId="0" applyFont="1"/>
    <xf numFmtId="0" fontId="2" fillId="0" borderId="0" xfId="0" quotePrefix="1" applyFont="1" applyAlignment="1">
      <alignment horizontal="left"/>
    </xf>
    <xf numFmtId="0" fontId="1" fillId="0" borderId="0" xfId="0" quotePrefix="1" applyFont="1" applyAlignment="1">
      <alignment horizontal="left"/>
    </xf>
    <xf numFmtId="164" fontId="14" fillId="0" borderId="1" xfId="0" applyNumberFormat="1" applyFont="1" applyBorder="1" applyAlignment="1">
      <alignment horizontal="center" vertical="center" wrapText="1"/>
    </xf>
    <xf numFmtId="164" fontId="14" fillId="3" borderId="1" xfId="0" applyNumberFormat="1" applyFont="1" applyFill="1" applyBorder="1" applyAlignment="1">
      <alignment horizontal="center" vertical="center" wrapText="1"/>
    </xf>
    <xf numFmtId="2" fontId="15" fillId="0" borderId="0" xfId="0" applyNumberFormat="1" applyFont="1" applyAlignment="1">
      <alignment horizontal="center"/>
    </xf>
    <xf numFmtId="0" fontId="11" fillId="0" borderId="0" xfId="0" quotePrefix="1" applyFont="1" applyAlignment="1">
      <alignment horizontal="left"/>
    </xf>
    <xf numFmtId="0" fontId="14" fillId="0" borderId="1" xfId="0" applyFont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9" fontId="15" fillId="0" borderId="0" xfId="0" applyNumberFormat="1" applyFont="1" applyAlignment="1">
      <alignment horizontal="center"/>
    </xf>
    <xf numFmtId="2" fontId="16" fillId="0" borderId="0" xfId="0" applyNumberFormat="1" applyFont="1" applyAlignment="1">
      <alignment horizontal="center"/>
    </xf>
    <xf numFmtId="0" fontId="8" fillId="0" borderId="0" xfId="0" quotePrefix="1" applyFont="1" applyAlignment="1">
      <alignment horizontal="left"/>
    </xf>
    <xf numFmtId="165" fontId="0" fillId="0" borderId="0" xfId="0" applyNumberFormat="1" applyAlignment="1">
      <alignment horizontal="center"/>
    </xf>
    <xf numFmtId="0" fontId="17" fillId="0" borderId="0" xfId="0" applyFont="1"/>
    <xf numFmtId="164" fontId="17" fillId="0" borderId="0" xfId="0" applyNumberFormat="1" applyFont="1"/>
    <xf numFmtId="0" fontId="0" fillId="0" borderId="17" xfId="0" applyBorder="1"/>
    <xf numFmtId="165" fontId="3" fillId="0" borderId="1" xfId="0" applyNumberFormat="1" applyFont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0" fontId="9" fillId="0" borderId="0" xfId="0" quotePrefix="1" applyFont="1" applyAlignment="1">
      <alignment horizontal="left"/>
    </xf>
    <xf numFmtId="0" fontId="3" fillId="0" borderId="1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3" fillId="5" borderId="2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left" vertical="top" wrapText="1"/>
    </xf>
    <xf numFmtId="0" fontId="3" fillId="5" borderId="3" xfId="0" applyFont="1" applyFill="1" applyBorder="1" applyAlignment="1">
      <alignment horizontal="left" vertical="top" wrapText="1"/>
    </xf>
    <xf numFmtId="0" fontId="3" fillId="5" borderId="4" xfId="0" applyFont="1" applyFill="1" applyBorder="1" applyAlignment="1">
      <alignment horizontal="left" vertical="top" wrapText="1"/>
    </xf>
    <xf numFmtId="0" fontId="3" fillId="5" borderId="5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lscircuit_disabled!$F$293:$Q$293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lscircuit_disabled!$F$298:$Q$298</c:f>
              <c:numCache>
                <c:formatCode>0.00</c:formatCode>
                <c:ptCount val="12"/>
                <c:pt idx="0">
                  <c:v>0.79999999999999993</c:v>
                </c:pt>
                <c:pt idx="1">
                  <c:v>1.0365853658536586</c:v>
                </c:pt>
                <c:pt idx="2">
                  <c:v>1.1764705882352942</c:v>
                </c:pt>
                <c:pt idx="3">
                  <c:v>1.2916666666666667</c:v>
                </c:pt>
                <c:pt idx="4">
                  <c:v>1.3768115942028984</c:v>
                </c:pt>
                <c:pt idx="5">
                  <c:v>1.95</c:v>
                </c:pt>
                <c:pt idx="6">
                  <c:v>2.6666666666666665</c:v>
                </c:pt>
                <c:pt idx="7">
                  <c:v>3.05</c:v>
                </c:pt>
                <c:pt idx="8">
                  <c:v>3.3</c:v>
                </c:pt>
                <c:pt idx="9">
                  <c:v>3.4883720930232558</c:v>
                </c:pt>
                <c:pt idx="10">
                  <c:v>3.6505681818181817</c:v>
                </c:pt>
                <c:pt idx="11">
                  <c:v>3.7747524752475248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300416"/>
        <c:axId val="136301952"/>
      </c:scatterChart>
      <c:valAx>
        <c:axId val="13630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6301952"/>
        <c:crosses val="autoZero"/>
        <c:crossBetween val="midCat"/>
      </c:valAx>
      <c:valAx>
        <c:axId val="13630195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3630041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19072615923"/>
          <c:y val="0.17177092446777487"/>
          <c:w val="0.81698315835520563"/>
          <c:h val="0.70298993875765525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compilation_enabled!$F$22:$Q$22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compilation_enabled!$F$27:$Q$27</c:f>
              <c:numCache>
                <c:formatCode>0.00</c:formatCode>
                <c:ptCount val="12"/>
                <c:pt idx="0">
                  <c:v>0.46875</c:v>
                </c:pt>
                <c:pt idx="1">
                  <c:v>0.67567567567567566</c:v>
                </c:pt>
                <c:pt idx="2">
                  <c:v>0.82191780821917815</c:v>
                </c:pt>
                <c:pt idx="3">
                  <c:v>0.95679012345679015</c:v>
                </c:pt>
                <c:pt idx="4">
                  <c:v>1.0795454545454544</c:v>
                </c:pt>
                <c:pt idx="5">
                  <c:v>1.7727272727272727</c:v>
                </c:pt>
                <c:pt idx="6">
                  <c:v>2.5</c:v>
                </c:pt>
                <c:pt idx="7">
                  <c:v>2.9047619047619047</c:v>
                </c:pt>
                <c:pt idx="8">
                  <c:v>3.1730769230769229</c:v>
                </c:pt>
                <c:pt idx="9">
                  <c:v>3.3762057877813505</c:v>
                </c:pt>
                <c:pt idx="10">
                  <c:v>3.5497237569060771</c:v>
                </c:pt>
                <c:pt idx="11">
                  <c:v>3.6835748792270531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compilation_enabled!$R$59</c:f>
              <c:strCache>
                <c:ptCount val="1"/>
                <c:pt idx="0">
                  <c:v>stiff+2</c:v>
                </c:pt>
              </c:strCache>
            </c:strRef>
          </c:tx>
          <c:marker>
            <c:symbol val="none"/>
          </c:marker>
          <c:xVal>
            <c:numRef>
              <c:f>compilation_enabled!$F$59:$Q$59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compilation_enabled!$F$64:$Q$64</c:f>
              <c:numCache>
                <c:formatCode>0.00</c:formatCode>
                <c:ptCount val="12"/>
                <c:pt idx="0">
                  <c:v>0.38338658146964855</c:v>
                </c:pt>
                <c:pt idx="1">
                  <c:v>0.54487179487179493</c:v>
                </c:pt>
                <c:pt idx="2">
                  <c:v>0.63829787234042545</c:v>
                </c:pt>
                <c:pt idx="3">
                  <c:v>0.73113207547169812</c:v>
                </c:pt>
                <c:pt idx="4">
                  <c:v>0.80372250423011837</c:v>
                </c:pt>
                <c:pt idx="5">
                  <c:v>1.1470588235294117</c:v>
                </c:pt>
                <c:pt idx="6">
                  <c:v>1.6666666666666667</c:v>
                </c:pt>
                <c:pt idx="7">
                  <c:v>1.967741935483871</c:v>
                </c:pt>
                <c:pt idx="8">
                  <c:v>2.1428571428571428</c:v>
                </c:pt>
                <c:pt idx="9">
                  <c:v>2.2826086956521738</c:v>
                </c:pt>
                <c:pt idx="10">
                  <c:v>2.3796296296296298</c:v>
                </c:pt>
                <c:pt idx="11">
                  <c:v>2.4596774193548385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compilation_enabled!$R$93</c:f>
              <c:strCache>
                <c:ptCount val="1"/>
                <c:pt idx="0">
                  <c:v>stiff+1</c:v>
                </c:pt>
              </c:strCache>
            </c:strRef>
          </c:tx>
          <c:marker>
            <c:symbol val="none"/>
          </c:marker>
          <c:xVal>
            <c:numRef>
              <c:f>compilation_enabled!$F$93:$Q$93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compilation_enabled!$F$98:$Q$98</c:f>
              <c:numCache>
                <c:formatCode>0.00</c:formatCode>
                <c:ptCount val="12"/>
                <c:pt idx="0">
                  <c:v>0.41025641025641024</c:v>
                </c:pt>
                <c:pt idx="1">
                  <c:v>0.5821917808219178</c:v>
                </c:pt>
                <c:pt idx="2">
                  <c:v>0.68965517241379315</c:v>
                </c:pt>
                <c:pt idx="3">
                  <c:v>0.79487179487179482</c:v>
                </c:pt>
                <c:pt idx="4">
                  <c:v>0.87962962962962954</c:v>
                </c:pt>
                <c:pt idx="5">
                  <c:v>1.3</c:v>
                </c:pt>
                <c:pt idx="6">
                  <c:v>1.9138755980861246</c:v>
                </c:pt>
                <c:pt idx="7">
                  <c:v>2.2592592592592591</c:v>
                </c:pt>
                <c:pt idx="8">
                  <c:v>2.459016393442623</c:v>
                </c:pt>
                <c:pt idx="9">
                  <c:v>2.5990099009900991</c:v>
                </c:pt>
                <c:pt idx="10">
                  <c:v>2.7311370882040382</c:v>
                </c:pt>
                <c:pt idx="11">
                  <c:v>2.824074074074074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compilation_enabled!$R$115</c:f>
              <c:strCache>
                <c:ptCount val="1"/>
                <c:pt idx="0">
                  <c:v>stiff</c:v>
                </c:pt>
              </c:strCache>
            </c:strRef>
          </c:tx>
          <c:marker>
            <c:symbol val="none"/>
          </c:marker>
          <c:xVal>
            <c:numRef>
              <c:f>compilation_enabled!$F$115:$Q$115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compilation_enabled!$F$120:$Q$120</c:f>
              <c:numCache>
                <c:formatCode>0.00</c:formatCode>
                <c:ptCount val="12"/>
                <c:pt idx="0">
                  <c:v>0.43636363636363634</c:v>
                </c:pt>
                <c:pt idx="1">
                  <c:v>0.625</c:v>
                </c:pt>
                <c:pt idx="2">
                  <c:v>0.75</c:v>
                </c:pt>
                <c:pt idx="3">
                  <c:v>0.86592178770949724</c:v>
                </c:pt>
                <c:pt idx="4">
                  <c:v>0.96938775510204078</c:v>
                </c:pt>
                <c:pt idx="5">
                  <c:v>1.4606741573033708</c:v>
                </c:pt>
                <c:pt idx="6">
                  <c:v>2.150537634408602</c:v>
                </c:pt>
                <c:pt idx="7">
                  <c:v>2.5416666666666665</c:v>
                </c:pt>
                <c:pt idx="8">
                  <c:v>2.7638190954773867</c:v>
                </c:pt>
                <c:pt idx="9">
                  <c:v>2.9247910863509752</c:v>
                </c:pt>
                <c:pt idx="10">
                  <c:v>3.0704898446833928</c:v>
                </c:pt>
                <c:pt idx="11">
                  <c:v>3.1770833333333335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756224"/>
        <c:axId val="90757760"/>
      </c:scatterChart>
      <c:valAx>
        <c:axId val="9075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0757760"/>
        <c:crosses val="autoZero"/>
        <c:crossBetween val="midCat"/>
      </c:valAx>
      <c:valAx>
        <c:axId val="9075776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9075622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4359667541557306"/>
          <c:y val="1.8326407115777186E-2"/>
          <c:w val="0.76751443569553801"/>
          <c:h val="8.371719160104987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compilation_enabled!$F$59:$Q$59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compilation_enabled!$F$64:$Q$64</c:f>
              <c:numCache>
                <c:formatCode>0.00</c:formatCode>
                <c:ptCount val="12"/>
                <c:pt idx="0">
                  <c:v>0.38338658146964855</c:v>
                </c:pt>
                <c:pt idx="1">
                  <c:v>0.54487179487179493</c:v>
                </c:pt>
                <c:pt idx="2">
                  <c:v>0.63829787234042545</c:v>
                </c:pt>
                <c:pt idx="3">
                  <c:v>0.73113207547169812</c:v>
                </c:pt>
                <c:pt idx="4">
                  <c:v>0.80372250423011837</c:v>
                </c:pt>
                <c:pt idx="5">
                  <c:v>1.1470588235294117</c:v>
                </c:pt>
                <c:pt idx="6">
                  <c:v>1.6666666666666667</c:v>
                </c:pt>
                <c:pt idx="7">
                  <c:v>1.967741935483871</c:v>
                </c:pt>
                <c:pt idx="8">
                  <c:v>2.1428571428571428</c:v>
                </c:pt>
                <c:pt idx="9">
                  <c:v>2.2826086956521738</c:v>
                </c:pt>
                <c:pt idx="10">
                  <c:v>2.3796296296296298</c:v>
                </c:pt>
                <c:pt idx="11">
                  <c:v>2.4596774193548385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438080"/>
        <c:axId val="116080640"/>
      </c:scatterChart>
      <c:valAx>
        <c:axId val="11143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6080640"/>
        <c:crosses val="autoZero"/>
        <c:crossBetween val="midCat"/>
      </c:valAx>
      <c:valAx>
        <c:axId val="11608064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114380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trendline>
            <c:trendlineType val="linear"/>
            <c:dispRSqr val="1"/>
            <c:dispEq val="1"/>
            <c:trendlineLbl>
              <c:layout>
                <c:manualLayout>
                  <c:x val="-0.10304943132108486"/>
                  <c:y val="0.20382049214590323"/>
                </c:manualLayout>
              </c:layout>
              <c:numFmt formatCode="General" sourceLinked="0"/>
            </c:trendlineLbl>
          </c:trendline>
          <c:xVal>
            <c:numRef>
              <c:f>compilation_enabled!$B$132:$B$133</c:f>
              <c:numCache>
                <c:formatCode>General</c:formatCode>
                <c:ptCount val="2"/>
                <c:pt idx="0">
                  <c:v>1</c:v>
                </c:pt>
                <c:pt idx="1">
                  <c:v>4</c:v>
                </c:pt>
              </c:numCache>
            </c:numRef>
          </c:xVal>
          <c:yVal>
            <c:numRef>
              <c:f>compilation_enabled!$C$132:$C$133</c:f>
              <c:numCache>
                <c:formatCode>General</c:formatCode>
                <c:ptCount val="2"/>
                <c:pt idx="0">
                  <c:v>34</c:v>
                </c:pt>
                <c:pt idx="1">
                  <c:v>22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985664"/>
        <c:axId val="117987200"/>
      </c:scatterChart>
      <c:valAx>
        <c:axId val="11798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7987200"/>
        <c:crosses val="autoZero"/>
        <c:crossBetween val="midCat"/>
      </c:valAx>
      <c:valAx>
        <c:axId val="1179872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798566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3159113739949"/>
          <c:y val="0.16766173637512757"/>
          <c:w val="0.81572191126355942"/>
          <c:h val="0.5969429432208693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compilation_enabled!$R$163</c:f>
              <c:strCache>
                <c:ptCount val="1"/>
                <c:pt idx="0">
                  <c:v> aver</c:v>
                </c:pt>
              </c:strCache>
            </c:strRef>
          </c:tx>
          <c:spPr>
            <a:ln w="15875"/>
          </c:spPr>
          <c:marker>
            <c:symbol val="none"/>
          </c:marker>
          <c:xVal>
            <c:numRef>
              <c:f>compilation_enabled!$F$162:$Q$162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compilation_enabled!$F$167:$Q$167</c:f>
              <c:numCache>
                <c:formatCode>0.00</c:formatCode>
                <c:ptCount val="12"/>
                <c:pt idx="0">
                  <c:v>0.46875</c:v>
                </c:pt>
                <c:pt idx="1">
                  <c:v>0.67567567567567566</c:v>
                </c:pt>
                <c:pt idx="2">
                  <c:v>0.82191780821917815</c:v>
                </c:pt>
                <c:pt idx="3">
                  <c:v>0.95679012345679015</c:v>
                </c:pt>
                <c:pt idx="4">
                  <c:v>1.0795454545454544</c:v>
                </c:pt>
                <c:pt idx="5">
                  <c:v>1.7727272727272727</c:v>
                </c:pt>
                <c:pt idx="6">
                  <c:v>2.5</c:v>
                </c:pt>
                <c:pt idx="7">
                  <c:v>2.9047619047619047</c:v>
                </c:pt>
                <c:pt idx="8">
                  <c:v>3.1730769230769229</c:v>
                </c:pt>
                <c:pt idx="9">
                  <c:v>3.3762057877813505</c:v>
                </c:pt>
                <c:pt idx="10">
                  <c:v>3.5497237569060771</c:v>
                </c:pt>
                <c:pt idx="11">
                  <c:v>3.6835748792270531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compilation_enabled!$R$175</c:f>
              <c:strCache>
                <c:ptCount val="1"/>
                <c:pt idx="0">
                  <c:v>stiff</c:v>
                </c:pt>
              </c:strCache>
            </c:strRef>
          </c:tx>
          <c:spPr>
            <a:ln w="15875"/>
          </c:spPr>
          <c:marker>
            <c:symbol val="none"/>
          </c:marker>
          <c:xVal>
            <c:numRef>
              <c:f>compilation_enabled!$F$174:$Q$174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compilation_enabled!$F$179:$Q$179</c:f>
              <c:numCache>
                <c:formatCode>0.00</c:formatCode>
                <c:ptCount val="12"/>
                <c:pt idx="0">
                  <c:v>0.43636363636363634</c:v>
                </c:pt>
                <c:pt idx="1">
                  <c:v>0.625</c:v>
                </c:pt>
                <c:pt idx="2">
                  <c:v>0.75</c:v>
                </c:pt>
                <c:pt idx="3">
                  <c:v>0.86592178770949724</c:v>
                </c:pt>
                <c:pt idx="4">
                  <c:v>0.96938775510204078</c:v>
                </c:pt>
                <c:pt idx="5">
                  <c:v>1.4606741573033708</c:v>
                </c:pt>
                <c:pt idx="6">
                  <c:v>2.150537634408602</c:v>
                </c:pt>
                <c:pt idx="7">
                  <c:v>2.5416666666666665</c:v>
                </c:pt>
                <c:pt idx="8">
                  <c:v>2.7638190954773867</c:v>
                </c:pt>
                <c:pt idx="9">
                  <c:v>2.9247910863509752</c:v>
                </c:pt>
                <c:pt idx="10">
                  <c:v>3.0704898446833928</c:v>
                </c:pt>
                <c:pt idx="11">
                  <c:v>3.1770833333333335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compilation_enabled!$R$187</c:f>
              <c:strCache>
                <c:ptCount val="1"/>
                <c:pt idx="0">
                  <c:v>stiff+1</c:v>
                </c:pt>
              </c:strCache>
            </c:strRef>
          </c:tx>
          <c:spPr>
            <a:ln w="15875">
              <a:solidFill>
                <a:srgbClr val="008000"/>
              </a:solidFill>
            </a:ln>
          </c:spPr>
          <c:marker>
            <c:symbol val="none"/>
          </c:marker>
          <c:xVal>
            <c:numRef>
              <c:f>compilation_enabled!$F$186:$Q$186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compilation_enabled!$F$191:$Q$191</c:f>
              <c:numCache>
                <c:formatCode>0.00</c:formatCode>
                <c:ptCount val="12"/>
                <c:pt idx="0">
                  <c:v>0.41025641025641024</c:v>
                </c:pt>
                <c:pt idx="1">
                  <c:v>0.5821917808219178</c:v>
                </c:pt>
                <c:pt idx="2">
                  <c:v>0.68965517241379315</c:v>
                </c:pt>
                <c:pt idx="3">
                  <c:v>0.79487179487179482</c:v>
                </c:pt>
                <c:pt idx="4">
                  <c:v>0.87962962962962954</c:v>
                </c:pt>
                <c:pt idx="5">
                  <c:v>1.3</c:v>
                </c:pt>
                <c:pt idx="6">
                  <c:v>1.9138755980861246</c:v>
                </c:pt>
                <c:pt idx="7">
                  <c:v>2.2592592592592591</c:v>
                </c:pt>
                <c:pt idx="8">
                  <c:v>2.459016393442623</c:v>
                </c:pt>
                <c:pt idx="9">
                  <c:v>2.5990099009900991</c:v>
                </c:pt>
                <c:pt idx="10">
                  <c:v>2.7311370882040382</c:v>
                </c:pt>
                <c:pt idx="11">
                  <c:v>2.824074074074074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compilation_enabled!$R$199</c:f>
              <c:strCache>
                <c:ptCount val="1"/>
                <c:pt idx="0">
                  <c:v>stiff+2</c:v>
                </c:pt>
              </c:strCache>
            </c:strRef>
          </c:tx>
          <c:spPr>
            <a:ln w="15875"/>
          </c:spPr>
          <c:marker>
            <c:symbol val="none"/>
          </c:marker>
          <c:xVal>
            <c:numRef>
              <c:f>compilation_enabled!$F$198:$Q$198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compilation_enabled!$F$203:$Q$203</c:f>
              <c:numCache>
                <c:formatCode>0.00</c:formatCode>
                <c:ptCount val="12"/>
                <c:pt idx="0">
                  <c:v>0.38338658146964855</c:v>
                </c:pt>
                <c:pt idx="1">
                  <c:v>0.54487179487179493</c:v>
                </c:pt>
                <c:pt idx="2">
                  <c:v>0.63829787234042545</c:v>
                </c:pt>
                <c:pt idx="3">
                  <c:v>0.73113207547169812</c:v>
                </c:pt>
                <c:pt idx="4">
                  <c:v>0.80372250423011837</c:v>
                </c:pt>
                <c:pt idx="5">
                  <c:v>1.1470588235294117</c:v>
                </c:pt>
                <c:pt idx="6">
                  <c:v>1.6666666666666667</c:v>
                </c:pt>
                <c:pt idx="7">
                  <c:v>1.967741935483871</c:v>
                </c:pt>
                <c:pt idx="8">
                  <c:v>2.1428571428571428</c:v>
                </c:pt>
                <c:pt idx="9">
                  <c:v>2.2826086956521738</c:v>
                </c:pt>
                <c:pt idx="10">
                  <c:v>2.3796296296296298</c:v>
                </c:pt>
                <c:pt idx="11">
                  <c:v>2.4596774193548385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637824"/>
        <c:axId val="130639744"/>
      </c:scatterChart>
      <c:valAx>
        <c:axId val="130637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velocity ips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0639744"/>
        <c:crosses val="autoZero"/>
        <c:crossBetween val="midCat"/>
      </c:valAx>
      <c:valAx>
        <c:axId val="130639744"/>
        <c:scaling>
          <c:orientation val="minMax"/>
          <c:min val="0.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r/c</a:t>
                </a:r>
                <a:r>
                  <a:rPr lang="en-US" baseline="0"/>
                  <a:t> ratio </a:t>
                </a:r>
                <a:endParaRPr lang="en-US"/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13063782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5492681622064405"/>
          <c:y val="4.077537013719241E-3"/>
          <c:w val="0.74535195741850446"/>
          <c:h val="0.1134033624701953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lscircuit_disabled!$F$320:$Q$320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lscircuit_disabled!$F$324:$Q$324</c:f>
              <c:numCache>
                <c:formatCode>0.00</c:formatCode>
                <c:ptCount val="12"/>
                <c:pt idx="0">
                  <c:v>0.77543999738373293</c:v>
                </c:pt>
                <c:pt idx="1">
                  <c:v>0.68658749768351357</c:v>
                </c:pt>
                <c:pt idx="2">
                  <c:v>0.64619999781977744</c:v>
                </c:pt>
                <c:pt idx="3">
                  <c:v>0.62600624788790937</c:v>
                </c:pt>
                <c:pt idx="4">
                  <c:v>0.61388999792878851</c:v>
                </c:pt>
                <c:pt idx="5">
                  <c:v>0.63004499787428303</c:v>
                </c:pt>
                <c:pt idx="6">
                  <c:v>0.64619999781977744</c:v>
                </c:pt>
                <c:pt idx="7">
                  <c:v>0.65696999778344034</c:v>
                </c:pt>
                <c:pt idx="8">
                  <c:v>0.6663937477516455</c:v>
                </c:pt>
                <c:pt idx="9">
                  <c:v>0.67850999771076637</c:v>
                </c:pt>
                <c:pt idx="10">
                  <c:v>0.69197249766534497</c:v>
                </c:pt>
                <c:pt idx="11">
                  <c:v>0.70389642619654325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795456"/>
        <c:axId val="137796992"/>
      </c:scatterChart>
      <c:valAx>
        <c:axId val="13779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7796992"/>
        <c:crosses val="autoZero"/>
        <c:crossBetween val="midCat"/>
      </c:valAx>
      <c:valAx>
        <c:axId val="13779699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3779545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lscircuit_disabled!$F$312:$Q$312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lscircuit_disabled!$F$325:$Q$325</c:f>
              <c:numCache>
                <c:formatCode>0.00</c:formatCode>
                <c:ptCount val="12"/>
                <c:pt idx="0">
                  <c:v>0.9</c:v>
                </c:pt>
                <c:pt idx="1">
                  <c:v>0.94444444444444442</c:v>
                </c:pt>
                <c:pt idx="2">
                  <c:v>0.97472924187725629</c:v>
                </c:pt>
                <c:pt idx="3">
                  <c:v>0.92999999999999994</c:v>
                </c:pt>
                <c:pt idx="4">
                  <c:v>0.91541755888650977</c:v>
                </c:pt>
                <c:pt idx="5">
                  <c:v>1.1561264822134389</c:v>
                </c:pt>
                <c:pt idx="6">
                  <c:v>1.6021361815754342</c:v>
                </c:pt>
                <c:pt idx="7">
                  <c:v>1.9042663891779397</c:v>
                </c:pt>
                <c:pt idx="8">
                  <c:v>2.1105741898806141</c:v>
                </c:pt>
                <c:pt idx="9">
                  <c:v>2.2553699284009547</c:v>
                </c:pt>
                <c:pt idx="10">
                  <c:v>2.3879826553788979</c:v>
                </c:pt>
                <c:pt idx="11">
                  <c:v>2.5041050903119868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32576"/>
        <c:axId val="78234368"/>
      </c:scatterChart>
      <c:valAx>
        <c:axId val="7823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8234368"/>
        <c:crosses val="autoZero"/>
        <c:crossBetween val="midCat"/>
      </c:valAx>
      <c:valAx>
        <c:axId val="7823436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782325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lcsircuit_enabled!$F$189:$Q$189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lcsircuit_enabled!$F$194:$Q$194</c:f>
              <c:numCache>
                <c:formatCode>0.00</c:formatCode>
                <c:ptCount val="12"/>
                <c:pt idx="0">
                  <c:v>0.46875</c:v>
                </c:pt>
                <c:pt idx="1">
                  <c:v>0.67567567567567566</c:v>
                </c:pt>
                <c:pt idx="2">
                  <c:v>0.82191780821917815</c:v>
                </c:pt>
                <c:pt idx="3">
                  <c:v>0.95679012345679015</c:v>
                </c:pt>
                <c:pt idx="4">
                  <c:v>1.0795454545454544</c:v>
                </c:pt>
                <c:pt idx="5">
                  <c:v>1.7727272727272727</c:v>
                </c:pt>
                <c:pt idx="6">
                  <c:v>2.6666666666666665</c:v>
                </c:pt>
                <c:pt idx="7">
                  <c:v>3.05</c:v>
                </c:pt>
                <c:pt idx="8">
                  <c:v>3.3</c:v>
                </c:pt>
                <c:pt idx="9">
                  <c:v>3.4883720930232558</c:v>
                </c:pt>
                <c:pt idx="10">
                  <c:v>3.6505681818181817</c:v>
                </c:pt>
                <c:pt idx="11">
                  <c:v>3.7747524752475248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300288"/>
        <c:axId val="78301824"/>
      </c:scatterChart>
      <c:valAx>
        <c:axId val="7830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8301824"/>
        <c:crosses val="autoZero"/>
        <c:crossBetween val="midCat"/>
      </c:valAx>
      <c:valAx>
        <c:axId val="7830182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7830028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lcsircuit_enabled!$F$219:$Q$219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lcsircuit_enabled!$F$224:$Q$224</c:f>
              <c:numCache>
                <c:formatCode>0.00</c:formatCode>
                <c:ptCount val="12"/>
                <c:pt idx="0">
                  <c:v>0.38338658146964855</c:v>
                </c:pt>
                <c:pt idx="1">
                  <c:v>0.55338541666666652</c:v>
                </c:pt>
                <c:pt idx="2">
                  <c:v>0.66079295154185025</c:v>
                </c:pt>
                <c:pt idx="3">
                  <c:v>0.74662813102119452</c:v>
                </c:pt>
                <c:pt idx="4">
                  <c:v>0.80372250423011837</c:v>
                </c:pt>
                <c:pt idx="5">
                  <c:v>1.1023176936122103</c:v>
                </c:pt>
                <c:pt idx="6">
                  <c:v>1.5432098765432101</c:v>
                </c:pt>
                <c:pt idx="7">
                  <c:v>1.834862385321101</c:v>
                </c:pt>
                <c:pt idx="8">
                  <c:v>2.029021151008362</c:v>
                </c:pt>
                <c:pt idx="9">
                  <c:v>2.169421487603306</c:v>
                </c:pt>
                <c:pt idx="10">
                  <c:v>2.2999821013066044</c:v>
                </c:pt>
                <c:pt idx="11">
                  <c:v>2.4091627172195893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313728"/>
        <c:axId val="78716928"/>
      </c:scatterChart>
      <c:valAx>
        <c:axId val="7831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8716928"/>
        <c:crosses val="autoZero"/>
        <c:crossBetween val="midCat"/>
      </c:valAx>
      <c:valAx>
        <c:axId val="7871692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783137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compilation_disabled!$F$22:$Q$22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compilation_disabled!$F$27:$Q$27</c:f>
              <c:numCache>
                <c:formatCode>0.00</c:formatCode>
                <c:ptCount val="12"/>
                <c:pt idx="0">
                  <c:v>0.79999999999999993</c:v>
                </c:pt>
                <c:pt idx="1">
                  <c:v>1.0365853658536586</c:v>
                </c:pt>
                <c:pt idx="2">
                  <c:v>1.1764705882352942</c:v>
                </c:pt>
                <c:pt idx="3">
                  <c:v>1.3135593220338981</c:v>
                </c:pt>
                <c:pt idx="4">
                  <c:v>1.4393939393939394</c:v>
                </c:pt>
                <c:pt idx="5">
                  <c:v>1.95</c:v>
                </c:pt>
                <c:pt idx="6">
                  <c:v>2.6666666666666665</c:v>
                </c:pt>
                <c:pt idx="7">
                  <c:v>3.05</c:v>
                </c:pt>
                <c:pt idx="8">
                  <c:v>3.3</c:v>
                </c:pt>
                <c:pt idx="9">
                  <c:v>3.4883720930232558</c:v>
                </c:pt>
                <c:pt idx="10">
                  <c:v>3.6505681818181817</c:v>
                </c:pt>
                <c:pt idx="11">
                  <c:v>3.7747524752475248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749696"/>
        <c:axId val="78751232"/>
      </c:scatterChart>
      <c:valAx>
        <c:axId val="7874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8751232"/>
        <c:crosses val="autoZero"/>
        <c:crossBetween val="midCat"/>
      </c:valAx>
      <c:valAx>
        <c:axId val="7875123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7874969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compilation_disabled!$F$48:$Q$48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compilation_disabled!$F$52:$Q$52</c:f>
              <c:numCache>
                <c:formatCode>0.00</c:formatCode>
                <c:ptCount val="12"/>
                <c:pt idx="0">
                  <c:v>0.77543999738373293</c:v>
                </c:pt>
                <c:pt idx="1">
                  <c:v>0.68658749768351357</c:v>
                </c:pt>
                <c:pt idx="2">
                  <c:v>0.64619999781977744</c:v>
                </c:pt>
                <c:pt idx="3">
                  <c:v>0.62600624788790937</c:v>
                </c:pt>
                <c:pt idx="4">
                  <c:v>0.61388999792878851</c:v>
                </c:pt>
                <c:pt idx="5">
                  <c:v>0.63004499787428303</c:v>
                </c:pt>
                <c:pt idx="6">
                  <c:v>0.64619999781977744</c:v>
                </c:pt>
                <c:pt idx="7">
                  <c:v>0.65696999778344034</c:v>
                </c:pt>
                <c:pt idx="8">
                  <c:v>0.6663937477516455</c:v>
                </c:pt>
                <c:pt idx="9">
                  <c:v>0.67850999771076637</c:v>
                </c:pt>
                <c:pt idx="10">
                  <c:v>0.69197249766534497</c:v>
                </c:pt>
                <c:pt idx="11">
                  <c:v>0.70389642619654325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763136"/>
        <c:axId val="78764672"/>
      </c:scatterChart>
      <c:valAx>
        <c:axId val="7876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8764672"/>
        <c:crosses val="autoZero"/>
        <c:crossBetween val="midCat"/>
      </c:valAx>
      <c:valAx>
        <c:axId val="7876467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787631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427168035927369E-2"/>
          <c:y val="0.16708141354814599"/>
          <c:w val="0.82924692578796222"/>
          <c:h val="0.70209212557717671"/>
        </c:manualLayout>
      </c:layout>
      <c:scatterChart>
        <c:scatterStyle val="smoothMarker"/>
        <c:varyColors val="0"/>
        <c:ser>
          <c:idx val="1"/>
          <c:order val="0"/>
          <c:tx>
            <c:strRef>
              <c:f>compilation_disabled!$R$22</c:f>
              <c:strCache>
                <c:ptCount val="1"/>
                <c:pt idx="0">
                  <c:v>aver</c:v>
                </c:pt>
              </c:strCache>
            </c:strRef>
          </c:tx>
          <c:marker>
            <c:symbol val="none"/>
          </c:marker>
          <c:xVal>
            <c:numRef>
              <c:f>compilation_disabled!$F$15:$Q$15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compilation_disabled!$F$27:$Q$27</c:f>
              <c:numCache>
                <c:formatCode>0.00</c:formatCode>
                <c:ptCount val="12"/>
                <c:pt idx="0">
                  <c:v>0.79999999999999993</c:v>
                </c:pt>
                <c:pt idx="1">
                  <c:v>1.0365853658536586</c:v>
                </c:pt>
                <c:pt idx="2">
                  <c:v>1.1764705882352942</c:v>
                </c:pt>
                <c:pt idx="3">
                  <c:v>1.3135593220338981</c:v>
                </c:pt>
                <c:pt idx="4">
                  <c:v>1.4393939393939394</c:v>
                </c:pt>
                <c:pt idx="5">
                  <c:v>1.95</c:v>
                </c:pt>
                <c:pt idx="6">
                  <c:v>2.6666666666666665</c:v>
                </c:pt>
                <c:pt idx="7">
                  <c:v>3.05</c:v>
                </c:pt>
                <c:pt idx="8">
                  <c:v>3.3</c:v>
                </c:pt>
                <c:pt idx="9">
                  <c:v>3.4883720930232558</c:v>
                </c:pt>
                <c:pt idx="10">
                  <c:v>3.6505681818181817</c:v>
                </c:pt>
                <c:pt idx="11">
                  <c:v>3.7747524752475248</c:v>
                </c:pt>
              </c:numCache>
            </c:numRef>
          </c:yVal>
          <c:smooth val="1"/>
        </c:ser>
        <c:ser>
          <c:idx val="3"/>
          <c:order val="1"/>
          <c:tx>
            <c:strRef>
              <c:f>compilation_disabled!$R$117</c:f>
              <c:strCache>
                <c:ptCount val="1"/>
                <c:pt idx="0">
                  <c:v>stiff</c:v>
                </c:pt>
              </c:strCache>
            </c:strRef>
          </c:tx>
          <c:marker>
            <c:symbol val="none"/>
          </c:marker>
          <c:xVal>
            <c:numRef>
              <c:f>compilation_disabled!$F$110:$Q$110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compilation_disabled!$F$122:$Q$122</c:f>
              <c:numCache>
                <c:formatCode>0.00</c:formatCode>
                <c:ptCount val="12"/>
                <c:pt idx="0">
                  <c:v>0.79999999999999993</c:v>
                </c:pt>
                <c:pt idx="1">
                  <c:v>0.94193262411347523</c:v>
                </c:pt>
                <c:pt idx="2">
                  <c:v>1.0619469026548671</c:v>
                </c:pt>
                <c:pt idx="3">
                  <c:v>1.1742424242424243</c:v>
                </c:pt>
                <c:pt idx="4">
                  <c:v>1.2751677852348993</c:v>
                </c:pt>
                <c:pt idx="5">
                  <c:v>1.6956521739130435</c:v>
                </c:pt>
                <c:pt idx="6">
                  <c:v>2.298916635535504</c:v>
                </c:pt>
                <c:pt idx="7">
                  <c:v>2.687816699713593</c:v>
                </c:pt>
                <c:pt idx="8">
                  <c:v>2.9058504455637353</c:v>
                </c:pt>
                <c:pt idx="9">
                  <c:v>3.0485149377231946</c:v>
                </c:pt>
                <c:pt idx="10">
                  <c:v>3.2049283567571614</c:v>
                </c:pt>
                <c:pt idx="11">
                  <c:v>3.3046926635822866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compilation_disabled!$R$97</c:f>
              <c:strCache>
                <c:ptCount val="1"/>
                <c:pt idx="0">
                  <c:v>stiff+1</c:v>
                </c:pt>
              </c:strCache>
            </c:strRef>
          </c:tx>
          <c:marker>
            <c:symbol val="none"/>
          </c:marker>
          <c:xVal>
            <c:numRef>
              <c:f>compilation_disabled!$F$90:$Q$90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compilation_disabled!$F$102:$Q$102</c:f>
              <c:numCache>
                <c:formatCode>0.00</c:formatCode>
                <c:ptCount val="12"/>
                <c:pt idx="0">
                  <c:v>0.79999999999999993</c:v>
                </c:pt>
                <c:pt idx="1">
                  <c:v>0.92391304347826098</c:v>
                </c:pt>
                <c:pt idx="2">
                  <c:v>1.0169491525423728</c:v>
                </c:pt>
                <c:pt idx="3">
                  <c:v>1.1071428571428572</c:v>
                </c:pt>
                <c:pt idx="4">
                  <c:v>1.1875</c:v>
                </c:pt>
                <c:pt idx="5">
                  <c:v>1.56</c:v>
                </c:pt>
                <c:pt idx="6">
                  <c:v>2.0460358056265986</c:v>
                </c:pt>
                <c:pt idx="7">
                  <c:v>2.392156862745098</c:v>
                </c:pt>
                <c:pt idx="8">
                  <c:v>2.5882352941176472</c:v>
                </c:pt>
                <c:pt idx="9">
                  <c:v>2.7149321266968327</c:v>
                </c:pt>
                <c:pt idx="10">
                  <c:v>2.8523862375138735</c:v>
                </c:pt>
                <c:pt idx="11">
                  <c:v>2.9411764705882351</c:v>
                </c:pt>
              </c:numCache>
            </c:numRef>
          </c:yVal>
          <c:smooth val="1"/>
        </c:ser>
        <c:ser>
          <c:idx val="0"/>
          <c:order val="3"/>
          <c:tx>
            <c:strRef>
              <c:f>compilation_disabled!$R$48</c:f>
              <c:strCache>
                <c:ptCount val="1"/>
                <c:pt idx="0">
                  <c:v>stiff+2</c:v>
                </c:pt>
              </c:strCache>
            </c:strRef>
          </c:tx>
          <c:marker>
            <c:symbol val="none"/>
          </c:marker>
          <c:xVal>
            <c:numRef>
              <c:f>compilation_disabled!$F$41:$Q$41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compilation_disabled!$F$53:$Q$53</c:f>
              <c:numCache>
                <c:formatCode>0.00</c:formatCode>
                <c:ptCount val="12"/>
                <c:pt idx="0">
                  <c:v>0.79999999999999993</c:v>
                </c:pt>
                <c:pt idx="1">
                  <c:v>0.90425531914893609</c:v>
                </c:pt>
                <c:pt idx="2">
                  <c:v>0.97560975609756095</c:v>
                </c:pt>
                <c:pt idx="3">
                  <c:v>1.0402684563758389</c:v>
                </c:pt>
                <c:pt idx="4">
                  <c:v>1.1176470588235294</c:v>
                </c:pt>
                <c:pt idx="5">
                  <c:v>1.3928571428571428</c:v>
                </c:pt>
                <c:pt idx="6">
                  <c:v>1.7391304347826086</c:v>
                </c:pt>
                <c:pt idx="7">
                  <c:v>2.0333333333333332</c:v>
                </c:pt>
                <c:pt idx="8">
                  <c:v>2.2000000000000002</c:v>
                </c:pt>
                <c:pt idx="9">
                  <c:v>2.3076923076923075</c:v>
                </c:pt>
                <c:pt idx="10">
                  <c:v>2.4245283018867925</c:v>
                </c:pt>
                <c:pt idx="11">
                  <c:v>2.5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783232"/>
        <c:axId val="78784768"/>
      </c:scatterChart>
      <c:valAx>
        <c:axId val="7878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8784768"/>
        <c:crosses val="autoZero"/>
        <c:crossBetween val="midCat"/>
      </c:valAx>
      <c:valAx>
        <c:axId val="7878476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7878323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8699406609984517"/>
          <c:y val="3.6207694799194577E-2"/>
          <c:w val="0.7020469897945929"/>
          <c:h val="7.7301774275103055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32195975503061"/>
          <c:y val="0.12084499854184894"/>
          <c:w val="0.81363582677165358"/>
          <c:h val="0.7020406824146981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compilation_disabled!$R$141</c:f>
              <c:strCache>
                <c:ptCount val="1"/>
                <c:pt idx="0">
                  <c:v>aver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compilation_disabled!$F$140:$Q$140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compilation_disabled!$F$145:$Q$145</c:f>
              <c:numCache>
                <c:formatCode>0.00</c:formatCode>
                <c:ptCount val="12"/>
                <c:pt idx="0">
                  <c:v>0.79999999999999993</c:v>
                </c:pt>
                <c:pt idx="1">
                  <c:v>1.0365853658536586</c:v>
                </c:pt>
                <c:pt idx="2">
                  <c:v>1.1764705882352942</c:v>
                </c:pt>
                <c:pt idx="3">
                  <c:v>1.3135593220338981</c:v>
                </c:pt>
                <c:pt idx="4">
                  <c:v>1.4393939393939394</c:v>
                </c:pt>
                <c:pt idx="5">
                  <c:v>1.95</c:v>
                </c:pt>
                <c:pt idx="6">
                  <c:v>2.6666666666666665</c:v>
                </c:pt>
                <c:pt idx="7">
                  <c:v>3.05</c:v>
                </c:pt>
                <c:pt idx="8">
                  <c:v>3.3</c:v>
                </c:pt>
                <c:pt idx="9">
                  <c:v>3.4883720930232558</c:v>
                </c:pt>
                <c:pt idx="10">
                  <c:v>3.6505681818181817</c:v>
                </c:pt>
                <c:pt idx="11">
                  <c:v>3.7747524752475248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compilation_disabled!$R$154</c:f>
              <c:strCache>
                <c:ptCount val="1"/>
                <c:pt idx="0">
                  <c:v>stiff</c:v>
                </c:pt>
              </c:strCache>
            </c:strRef>
          </c:tx>
          <c:spPr>
            <a:ln w="15875"/>
          </c:spPr>
          <c:marker>
            <c:symbol val="none"/>
          </c:marker>
          <c:xVal>
            <c:numRef>
              <c:f>compilation_disabled!$F$153:$Q$153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compilation_disabled!$F$158:$Q$158</c:f>
              <c:numCache>
                <c:formatCode>0.00</c:formatCode>
                <c:ptCount val="12"/>
                <c:pt idx="0">
                  <c:v>0.79999999999999993</c:v>
                </c:pt>
                <c:pt idx="1">
                  <c:v>0.94193262411347523</c:v>
                </c:pt>
                <c:pt idx="2">
                  <c:v>1.0619469026548671</c:v>
                </c:pt>
                <c:pt idx="3">
                  <c:v>1.1742424242424243</c:v>
                </c:pt>
                <c:pt idx="4">
                  <c:v>1.2751677852348993</c:v>
                </c:pt>
                <c:pt idx="5">
                  <c:v>1.6956521739130435</c:v>
                </c:pt>
                <c:pt idx="6">
                  <c:v>2.298916635535504</c:v>
                </c:pt>
                <c:pt idx="7">
                  <c:v>2.687816699713593</c:v>
                </c:pt>
                <c:pt idx="8">
                  <c:v>2.9058504455637353</c:v>
                </c:pt>
                <c:pt idx="9">
                  <c:v>3.0485149377231946</c:v>
                </c:pt>
                <c:pt idx="10">
                  <c:v>3.2049283567571614</c:v>
                </c:pt>
                <c:pt idx="11">
                  <c:v>3.3046926635822866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compilation_disabled!$R$167</c:f>
              <c:strCache>
                <c:ptCount val="1"/>
                <c:pt idx="0">
                  <c:v>stiff+1</c:v>
                </c:pt>
              </c:strCache>
            </c:strRef>
          </c:tx>
          <c:spPr>
            <a:ln w="15875">
              <a:solidFill>
                <a:srgbClr val="008000"/>
              </a:solidFill>
            </a:ln>
          </c:spPr>
          <c:marker>
            <c:symbol val="none"/>
          </c:marker>
          <c:xVal>
            <c:numRef>
              <c:f>compilation_disabled!$F$166:$Q$166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compilation_disabled!$F$171:$Q$171</c:f>
              <c:numCache>
                <c:formatCode>0.00</c:formatCode>
                <c:ptCount val="12"/>
                <c:pt idx="0">
                  <c:v>0.79999999999999993</c:v>
                </c:pt>
                <c:pt idx="1">
                  <c:v>0.92391304347826098</c:v>
                </c:pt>
                <c:pt idx="2">
                  <c:v>1.0169491525423728</c:v>
                </c:pt>
                <c:pt idx="3">
                  <c:v>1.1071428571428572</c:v>
                </c:pt>
                <c:pt idx="4">
                  <c:v>1.1875</c:v>
                </c:pt>
                <c:pt idx="5">
                  <c:v>1.56</c:v>
                </c:pt>
                <c:pt idx="6">
                  <c:v>2.0460358056265986</c:v>
                </c:pt>
                <c:pt idx="7">
                  <c:v>2.392156862745098</c:v>
                </c:pt>
                <c:pt idx="8">
                  <c:v>2.5882352941176472</c:v>
                </c:pt>
                <c:pt idx="9">
                  <c:v>2.7149321266968327</c:v>
                </c:pt>
                <c:pt idx="10">
                  <c:v>2.8523862375138735</c:v>
                </c:pt>
                <c:pt idx="11">
                  <c:v>2.9411764705882351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compilation_disabled!$R$179</c:f>
              <c:strCache>
                <c:ptCount val="1"/>
                <c:pt idx="0">
                  <c:v>stiff+2</c:v>
                </c:pt>
              </c:strCache>
            </c:strRef>
          </c:tx>
          <c:spPr>
            <a:ln w="15875"/>
          </c:spPr>
          <c:marker>
            <c:symbol val="none"/>
          </c:marker>
          <c:xVal>
            <c:numRef>
              <c:f>compilation_disabled!$F$179:$Q$179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compilation_disabled!$F$184:$Q$184</c:f>
              <c:numCache>
                <c:formatCode>0.00</c:formatCode>
                <c:ptCount val="12"/>
                <c:pt idx="0">
                  <c:v>0.79999999999999993</c:v>
                </c:pt>
                <c:pt idx="1">
                  <c:v>0.90425531914893609</c:v>
                </c:pt>
                <c:pt idx="2">
                  <c:v>0.97560975609756095</c:v>
                </c:pt>
                <c:pt idx="3">
                  <c:v>1.0402684563758389</c:v>
                </c:pt>
                <c:pt idx="4">
                  <c:v>1.1176470588235294</c:v>
                </c:pt>
                <c:pt idx="5">
                  <c:v>1.3928571428571428</c:v>
                </c:pt>
                <c:pt idx="6">
                  <c:v>1.7391304347826086</c:v>
                </c:pt>
                <c:pt idx="7">
                  <c:v>2.0333333333333332</c:v>
                </c:pt>
                <c:pt idx="8">
                  <c:v>2.2000000000000002</c:v>
                </c:pt>
                <c:pt idx="9">
                  <c:v>2.3076923076923075</c:v>
                </c:pt>
                <c:pt idx="10">
                  <c:v>2.4245283018867925</c:v>
                </c:pt>
                <c:pt idx="11">
                  <c:v>2.5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832000"/>
        <c:axId val="78833920"/>
      </c:scatterChart>
      <c:valAx>
        <c:axId val="78832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velicity   ips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8833920"/>
        <c:crosses val="autoZero"/>
        <c:crossBetween val="midCat"/>
      </c:valAx>
      <c:valAx>
        <c:axId val="78833920"/>
        <c:scaling>
          <c:orientation val="minMax"/>
          <c:min val="0.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r/c</a:t>
                </a:r>
                <a:r>
                  <a:rPr lang="en-US" baseline="0"/>
                  <a:t> ratio </a:t>
                </a:r>
                <a:endParaRPr lang="en-US"/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7883200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1859667541557305"/>
          <c:y val="4.4375182268883073E-3"/>
          <c:w val="0.73973665791776033"/>
          <c:h val="8.371719160104987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.xml"/><Relationship Id="rId3" Type="http://schemas.openxmlformats.org/officeDocument/2006/relationships/image" Target="../media/image3.gif"/><Relationship Id="rId7" Type="http://schemas.openxmlformats.org/officeDocument/2006/relationships/chart" Target="../charts/chart2.xml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chart" Target="../charts/chart1.xml"/><Relationship Id="rId5" Type="http://schemas.openxmlformats.org/officeDocument/2006/relationships/image" Target="../media/image5.gif"/><Relationship Id="rId4" Type="http://schemas.openxmlformats.org/officeDocument/2006/relationships/image" Target="../media/image4.g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7" Type="http://schemas.openxmlformats.org/officeDocument/2006/relationships/chart" Target="../charts/chart5.xml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chart" Target="../charts/chart4.xml"/><Relationship Id="rId5" Type="http://schemas.openxmlformats.org/officeDocument/2006/relationships/image" Target="../media/image5.gif"/><Relationship Id="rId4" Type="http://schemas.openxmlformats.org/officeDocument/2006/relationships/image" Target="../media/image4.gi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image" Target="../media/image3.gif"/><Relationship Id="rId7" Type="http://schemas.openxmlformats.org/officeDocument/2006/relationships/chart" Target="../charts/chart7.xml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chart" Target="../charts/chart6.xml"/><Relationship Id="rId5" Type="http://schemas.openxmlformats.org/officeDocument/2006/relationships/image" Target="../media/image5.gif"/><Relationship Id="rId4" Type="http://schemas.openxmlformats.org/officeDocument/2006/relationships/image" Target="../media/image4.gif"/><Relationship Id="rId9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3" Type="http://schemas.openxmlformats.org/officeDocument/2006/relationships/image" Target="../media/image3.gif"/><Relationship Id="rId7" Type="http://schemas.openxmlformats.org/officeDocument/2006/relationships/chart" Target="../charts/chart12.xml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275</xdr:row>
      <xdr:rowOff>0</xdr:rowOff>
    </xdr:from>
    <xdr:to>
      <xdr:col>1</xdr:col>
      <xdr:colOff>714375</xdr:colOff>
      <xdr:row>275</xdr:row>
      <xdr:rowOff>9525</xdr:rowOff>
    </xdr:to>
    <xdr:pic>
      <xdr:nvPicPr>
        <xdr:cNvPr id="2" name="Picture 1" descr="http://www.valvinglogic.com/images/spacer75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9434750"/>
          <a:ext cx="7143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275</xdr:row>
      <xdr:rowOff>0</xdr:rowOff>
    </xdr:from>
    <xdr:to>
      <xdr:col>4</xdr:col>
      <xdr:colOff>114300</xdr:colOff>
      <xdr:row>275</xdr:row>
      <xdr:rowOff>9525</xdr:rowOff>
    </xdr:to>
    <xdr:pic>
      <xdr:nvPicPr>
        <xdr:cNvPr id="3" name="Picture 2" descr="http://www.valvinglogic.com/images/spacer140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49434750"/>
          <a:ext cx="13335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275</xdr:row>
      <xdr:rowOff>0</xdr:rowOff>
    </xdr:from>
    <xdr:to>
      <xdr:col>8</xdr:col>
      <xdr:colOff>400050</xdr:colOff>
      <xdr:row>275</xdr:row>
      <xdr:rowOff>9525</xdr:rowOff>
    </xdr:to>
    <xdr:pic>
      <xdr:nvPicPr>
        <xdr:cNvPr id="4" name="Picture 3" descr="http://www.valvinglogic.com/images/spacer362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49434750"/>
          <a:ext cx="34480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275</xdr:row>
      <xdr:rowOff>0</xdr:rowOff>
    </xdr:from>
    <xdr:to>
      <xdr:col>4</xdr:col>
      <xdr:colOff>419100</xdr:colOff>
      <xdr:row>275</xdr:row>
      <xdr:rowOff>9525</xdr:rowOff>
    </xdr:to>
    <xdr:pic>
      <xdr:nvPicPr>
        <xdr:cNvPr id="5" name="Picture 4" descr="http://www.valvinglogic.com/images/spacer44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49434750"/>
          <a:ext cx="4191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275</xdr:row>
      <xdr:rowOff>0</xdr:rowOff>
    </xdr:from>
    <xdr:to>
      <xdr:col>5</xdr:col>
      <xdr:colOff>419100</xdr:colOff>
      <xdr:row>275</xdr:row>
      <xdr:rowOff>9525</xdr:rowOff>
    </xdr:to>
    <xdr:pic>
      <xdr:nvPicPr>
        <xdr:cNvPr id="6" name="Picture 5" descr="http://www.valvinglogic.com/images/spacer44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9434750"/>
          <a:ext cx="4191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275</xdr:row>
      <xdr:rowOff>0</xdr:rowOff>
    </xdr:from>
    <xdr:to>
      <xdr:col>6</xdr:col>
      <xdr:colOff>419100</xdr:colOff>
      <xdr:row>275</xdr:row>
      <xdr:rowOff>9525</xdr:rowOff>
    </xdr:to>
    <xdr:pic>
      <xdr:nvPicPr>
        <xdr:cNvPr id="7" name="Picture 6" descr="http://www.valvinglogic.com/images/spacer44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49434750"/>
          <a:ext cx="4191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275</xdr:row>
      <xdr:rowOff>0</xdr:rowOff>
    </xdr:from>
    <xdr:to>
      <xdr:col>7</xdr:col>
      <xdr:colOff>419100</xdr:colOff>
      <xdr:row>275</xdr:row>
      <xdr:rowOff>9525</xdr:rowOff>
    </xdr:to>
    <xdr:pic>
      <xdr:nvPicPr>
        <xdr:cNvPr id="8" name="Picture 7" descr="http://www.valvinglogic.com/images/spacer44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49434750"/>
          <a:ext cx="4191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275</xdr:row>
      <xdr:rowOff>0</xdr:rowOff>
    </xdr:from>
    <xdr:to>
      <xdr:col>8</xdr:col>
      <xdr:colOff>419100</xdr:colOff>
      <xdr:row>275</xdr:row>
      <xdr:rowOff>9525</xdr:rowOff>
    </xdr:to>
    <xdr:pic>
      <xdr:nvPicPr>
        <xdr:cNvPr id="9" name="Picture 8" descr="http://www.valvinglogic.com/images/spacer44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9434750"/>
          <a:ext cx="4191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275</xdr:row>
      <xdr:rowOff>0</xdr:rowOff>
    </xdr:from>
    <xdr:to>
      <xdr:col>9</xdr:col>
      <xdr:colOff>419100</xdr:colOff>
      <xdr:row>275</xdr:row>
      <xdr:rowOff>9525</xdr:rowOff>
    </xdr:to>
    <xdr:pic>
      <xdr:nvPicPr>
        <xdr:cNvPr id="10" name="Picture 9" descr="http://www.valvinglogic.com/images/spacer44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49434750"/>
          <a:ext cx="4191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275</xdr:row>
      <xdr:rowOff>0</xdr:rowOff>
    </xdr:from>
    <xdr:to>
      <xdr:col>10</xdr:col>
      <xdr:colOff>419100</xdr:colOff>
      <xdr:row>275</xdr:row>
      <xdr:rowOff>9525</xdr:rowOff>
    </xdr:to>
    <xdr:pic>
      <xdr:nvPicPr>
        <xdr:cNvPr id="11" name="Picture 10" descr="http://www.valvinglogic.com/images/spacer44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9434750"/>
          <a:ext cx="4191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275</xdr:row>
      <xdr:rowOff>0</xdr:rowOff>
    </xdr:from>
    <xdr:to>
      <xdr:col>11</xdr:col>
      <xdr:colOff>419100</xdr:colOff>
      <xdr:row>275</xdr:row>
      <xdr:rowOff>9525</xdr:rowOff>
    </xdr:to>
    <xdr:pic>
      <xdr:nvPicPr>
        <xdr:cNvPr id="12" name="Picture 11" descr="http://www.valvinglogic.com/images/spacer44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49434750"/>
          <a:ext cx="4191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275</xdr:row>
      <xdr:rowOff>0</xdr:rowOff>
    </xdr:from>
    <xdr:to>
      <xdr:col>12</xdr:col>
      <xdr:colOff>419100</xdr:colOff>
      <xdr:row>275</xdr:row>
      <xdr:rowOff>9525</xdr:rowOff>
    </xdr:to>
    <xdr:pic>
      <xdr:nvPicPr>
        <xdr:cNvPr id="13" name="Picture 12" descr="http://www.valvinglogic.com/images/spacer44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9434750"/>
          <a:ext cx="4191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275</xdr:row>
      <xdr:rowOff>0</xdr:rowOff>
    </xdr:from>
    <xdr:to>
      <xdr:col>13</xdr:col>
      <xdr:colOff>419100</xdr:colOff>
      <xdr:row>275</xdr:row>
      <xdr:rowOff>9525</xdr:rowOff>
    </xdr:to>
    <xdr:pic>
      <xdr:nvPicPr>
        <xdr:cNvPr id="14" name="Picture 13" descr="http://www.valvinglogic.com/images/spacer44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49434750"/>
          <a:ext cx="4191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275</xdr:row>
      <xdr:rowOff>0</xdr:rowOff>
    </xdr:from>
    <xdr:to>
      <xdr:col>14</xdr:col>
      <xdr:colOff>419100</xdr:colOff>
      <xdr:row>275</xdr:row>
      <xdr:rowOff>9525</xdr:rowOff>
    </xdr:to>
    <xdr:pic>
      <xdr:nvPicPr>
        <xdr:cNvPr id="15" name="Picture 14" descr="http://www.valvinglogic.com/images/spacer44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49434750"/>
          <a:ext cx="4191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275</xdr:row>
      <xdr:rowOff>0</xdr:rowOff>
    </xdr:from>
    <xdr:to>
      <xdr:col>15</xdr:col>
      <xdr:colOff>419100</xdr:colOff>
      <xdr:row>275</xdr:row>
      <xdr:rowOff>9525</xdr:rowOff>
    </xdr:to>
    <xdr:pic>
      <xdr:nvPicPr>
        <xdr:cNvPr id="16" name="Picture 15" descr="http://www.valvinglogic.com/images/spacer44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9434750"/>
          <a:ext cx="4191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275</xdr:row>
      <xdr:rowOff>0</xdr:rowOff>
    </xdr:from>
    <xdr:to>
      <xdr:col>16</xdr:col>
      <xdr:colOff>419100</xdr:colOff>
      <xdr:row>275</xdr:row>
      <xdr:rowOff>9525</xdr:rowOff>
    </xdr:to>
    <xdr:pic>
      <xdr:nvPicPr>
        <xdr:cNvPr id="17" name="Picture 16" descr="http://www.valvinglogic.com/images/spacer44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49434750"/>
          <a:ext cx="4191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276</xdr:row>
      <xdr:rowOff>0</xdr:rowOff>
    </xdr:from>
    <xdr:to>
      <xdr:col>20</xdr:col>
      <xdr:colOff>9525</xdr:colOff>
      <xdr:row>276</xdr:row>
      <xdr:rowOff>9525</xdr:rowOff>
    </xdr:to>
    <xdr:pic>
      <xdr:nvPicPr>
        <xdr:cNvPr id="18" name="Picture 17" descr="http://www.valvinglogic.com/images/spacer1235.gif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9625250"/>
          <a:ext cx="117633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183621</xdr:colOff>
      <xdr:row>302</xdr:row>
      <xdr:rowOff>10053</xdr:rowOff>
    </xdr:from>
    <xdr:to>
      <xdr:col>14</xdr:col>
      <xdr:colOff>488421</xdr:colOff>
      <xdr:row>310</xdr:row>
      <xdr:rowOff>86253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66146</xdr:colOff>
      <xdr:row>328</xdr:row>
      <xdr:rowOff>115887</xdr:rowOff>
    </xdr:from>
    <xdr:to>
      <xdr:col>14</xdr:col>
      <xdr:colOff>375180</xdr:colOff>
      <xdr:row>337</xdr:row>
      <xdr:rowOff>30162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603250</xdr:colOff>
      <xdr:row>322</xdr:row>
      <xdr:rowOff>0</xdr:rowOff>
    </xdr:from>
    <xdr:to>
      <xdr:col>7</xdr:col>
      <xdr:colOff>137583</xdr:colOff>
      <xdr:row>324</xdr:row>
      <xdr:rowOff>148166</xdr:rowOff>
    </xdr:to>
    <xdr:cxnSp macro="">
      <xdr:nvCxnSpPr>
        <xdr:cNvPr id="22" name="Straight Arrow Connector 21"/>
        <xdr:cNvCxnSpPr/>
      </xdr:nvCxnSpPr>
      <xdr:spPr>
        <a:xfrm flipV="1">
          <a:off x="2000250" y="56790167"/>
          <a:ext cx="2603500" cy="52916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79374</xdr:colOff>
      <xdr:row>337</xdr:row>
      <xdr:rowOff>73024</xdr:rowOff>
    </xdr:from>
    <xdr:to>
      <xdr:col>14</xdr:col>
      <xdr:colOff>354541</xdr:colOff>
      <xdr:row>346</xdr:row>
      <xdr:rowOff>15874</xdr:rowOff>
    </xdr:to>
    <xdr:graphicFrame macro="">
      <xdr:nvGraphicFramePr>
        <xdr:cNvPr id="23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171</xdr:row>
      <xdr:rowOff>0</xdr:rowOff>
    </xdr:from>
    <xdr:to>
      <xdr:col>1</xdr:col>
      <xdr:colOff>714375</xdr:colOff>
      <xdr:row>171</xdr:row>
      <xdr:rowOff>9525</xdr:rowOff>
    </xdr:to>
    <xdr:pic>
      <xdr:nvPicPr>
        <xdr:cNvPr id="2" name="Picture 1" descr="http://www.valvinglogic.com/images/spacer75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1832550"/>
          <a:ext cx="7143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171</xdr:row>
      <xdr:rowOff>0</xdr:rowOff>
    </xdr:from>
    <xdr:to>
      <xdr:col>4</xdr:col>
      <xdr:colOff>114300</xdr:colOff>
      <xdr:row>171</xdr:row>
      <xdr:rowOff>9525</xdr:rowOff>
    </xdr:to>
    <xdr:pic>
      <xdr:nvPicPr>
        <xdr:cNvPr id="3" name="Picture 2" descr="http://www.valvinglogic.com/images/spacer140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1832550"/>
          <a:ext cx="13335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8</xdr:col>
      <xdr:colOff>400050</xdr:colOff>
      <xdr:row>171</xdr:row>
      <xdr:rowOff>9525</xdr:rowOff>
    </xdr:to>
    <xdr:pic>
      <xdr:nvPicPr>
        <xdr:cNvPr id="4" name="Picture 3" descr="http://www.valvinglogic.com/images/spacer362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832550"/>
          <a:ext cx="34480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171</xdr:row>
      <xdr:rowOff>0</xdr:rowOff>
    </xdr:from>
    <xdr:to>
      <xdr:col>4</xdr:col>
      <xdr:colOff>419100</xdr:colOff>
      <xdr:row>171</xdr:row>
      <xdr:rowOff>9525</xdr:rowOff>
    </xdr:to>
    <xdr:pic>
      <xdr:nvPicPr>
        <xdr:cNvPr id="5" name="Picture 4" descr="http://www.valvinglogic.com/images/spacer44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31832550"/>
          <a:ext cx="4191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171</xdr:row>
      <xdr:rowOff>0</xdr:rowOff>
    </xdr:from>
    <xdr:to>
      <xdr:col>5</xdr:col>
      <xdr:colOff>419100</xdr:colOff>
      <xdr:row>171</xdr:row>
      <xdr:rowOff>9525</xdr:rowOff>
    </xdr:to>
    <xdr:pic>
      <xdr:nvPicPr>
        <xdr:cNvPr id="6" name="Picture 5" descr="http://www.valvinglogic.com/images/spacer44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1832550"/>
          <a:ext cx="4191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419100</xdr:colOff>
      <xdr:row>171</xdr:row>
      <xdr:rowOff>9525</xdr:rowOff>
    </xdr:to>
    <xdr:pic>
      <xdr:nvPicPr>
        <xdr:cNvPr id="7" name="Picture 6" descr="http://www.valvinglogic.com/images/spacer44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31832550"/>
          <a:ext cx="4191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171</xdr:row>
      <xdr:rowOff>0</xdr:rowOff>
    </xdr:from>
    <xdr:to>
      <xdr:col>7</xdr:col>
      <xdr:colOff>419100</xdr:colOff>
      <xdr:row>171</xdr:row>
      <xdr:rowOff>9525</xdr:rowOff>
    </xdr:to>
    <xdr:pic>
      <xdr:nvPicPr>
        <xdr:cNvPr id="8" name="Picture 7" descr="http://www.valvinglogic.com/images/spacer44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31832550"/>
          <a:ext cx="4191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171</xdr:row>
      <xdr:rowOff>0</xdr:rowOff>
    </xdr:from>
    <xdr:to>
      <xdr:col>8</xdr:col>
      <xdr:colOff>419100</xdr:colOff>
      <xdr:row>171</xdr:row>
      <xdr:rowOff>9525</xdr:rowOff>
    </xdr:to>
    <xdr:pic>
      <xdr:nvPicPr>
        <xdr:cNvPr id="9" name="Picture 8" descr="http://www.valvinglogic.com/images/spacer44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31832550"/>
          <a:ext cx="4191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171</xdr:row>
      <xdr:rowOff>0</xdr:rowOff>
    </xdr:from>
    <xdr:to>
      <xdr:col>9</xdr:col>
      <xdr:colOff>419100</xdr:colOff>
      <xdr:row>171</xdr:row>
      <xdr:rowOff>9525</xdr:rowOff>
    </xdr:to>
    <xdr:pic>
      <xdr:nvPicPr>
        <xdr:cNvPr id="10" name="Picture 9" descr="http://www.valvinglogic.com/images/spacer44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31832550"/>
          <a:ext cx="4191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171</xdr:row>
      <xdr:rowOff>0</xdr:rowOff>
    </xdr:from>
    <xdr:to>
      <xdr:col>10</xdr:col>
      <xdr:colOff>419100</xdr:colOff>
      <xdr:row>171</xdr:row>
      <xdr:rowOff>9525</xdr:rowOff>
    </xdr:to>
    <xdr:pic>
      <xdr:nvPicPr>
        <xdr:cNvPr id="11" name="Picture 10" descr="http://www.valvinglogic.com/images/spacer44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31832550"/>
          <a:ext cx="4191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171</xdr:row>
      <xdr:rowOff>0</xdr:rowOff>
    </xdr:from>
    <xdr:to>
      <xdr:col>11</xdr:col>
      <xdr:colOff>419100</xdr:colOff>
      <xdr:row>171</xdr:row>
      <xdr:rowOff>9525</xdr:rowOff>
    </xdr:to>
    <xdr:pic>
      <xdr:nvPicPr>
        <xdr:cNvPr id="12" name="Picture 11" descr="http://www.valvinglogic.com/images/spacer44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31832550"/>
          <a:ext cx="4191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171</xdr:row>
      <xdr:rowOff>0</xdr:rowOff>
    </xdr:from>
    <xdr:to>
      <xdr:col>12</xdr:col>
      <xdr:colOff>419100</xdr:colOff>
      <xdr:row>171</xdr:row>
      <xdr:rowOff>9525</xdr:rowOff>
    </xdr:to>
    <xdr:pic>
      <xdr:nvPicPr>
        <xdr:cNvPr id="13" name="Picture 12" descr="http://www.valvinglogic.com/images/spacer44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832550"/>
          <a:ext cx="4191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171</xdr:row>
      <xdr:rowOff>0</xdr:rowOff>
    </xdr:from>
    <xdr:to>
      <xdr:col>13</xdr:col>
      <xdr:colOff>419100</xdr:colOff>
      <xdr:row>171</xdr:row>
      <xdr:rowOff>9525</xdr:rowOff>
    </xdr:to>
    <xdr:pic>
      <xdr:nvPicPr>
        <xdr:cNvPr id="14" name="Picture 13" descr="http://www.valvinglogic.com/images/spacer44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1832550"/>
          <a:ext cx="4191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171</xdr:row>
      <xdr:rowOff>0</xdr:rowOff>
    </xdr:from>
    <xdr:to>
      <xdr:col>14</xdr:col>
      <xdr:colOff>419100</xdr:colOff>
      <xdr:row>171</xdr:row>
      <xdr:rowOff>9525</xdr:rowOff>
    </xdr:to>
    <xdr:pic>
      <xdr:nvPicPr>
        <xdr:cNvPr id="15" name="Picture 14" descr="http://www.valvinglogic.com/images/spacer44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31832550"/>
          <a:ext cx="4191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171</xdr:row>
      <xdr:rowOff>0</xdr:rowOff>
    </xdr:from>
    <xdr:to>
      <xdr:col>15</xdr:col>
      <xdr:colOff>419100</xdr:colOff>
      <xdr:row>171</xdr:row>
      <xdr:rowOff>9525</xdr:rowOff>
    </xdr:to>
    <xdr:pic>
      <xdr:nvPicPr>
        <xdr:cNvPr id="16" name="Picture 15" descr="http://www.valvinglogic.com/images/spacer44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31832550"/>
          <a:ext cx="4191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171</xdr:row>
      <xdr:rowOff>0</xdr:rowOff>
    </xdr:from>
    <xdr:to>
      <xdr:col>16</xdr:col>
      <xdr:colOff>419100</xdr:colOff>
      <xdr:row>171</xdr:row>
      <xdr:rowOff>9525</xdr:rowOff>
    </xdr:to>
    <xdr:pic>
      <xdr:nvPicPr>
        <xdr:cNvPr id="17" name="Picture 16" descr="http://www.valvinglogic.com/images/spacer44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31832550"/>
          <a:ext cx="4191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172</xdr:row>
      <xdr:rowOff>0</xdr:rowOff>
    </xdr:from>
    <xdr:to>
      <xdr:col>20</xdr:col>
      <xdr:colOff>9525</xdr:colOff>
      <xdr:row>172</xdr:row>
      <xdr:rowOff>9525</xdr:rowOff>
    </xdr:to>
    <xdr:pic>
      <xdr:nvPicPr>
        <xdr:cNvPr id="18" name="Picture 17" descr="http://www.valvinglogic.com/images/spacer1235.gif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2023050"/>
          <a:ext cx="117633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204786</xdr:colOff>
      <xdr:row>198</xdr:row>
      <xdr:rowOff>31220</xdr:rowOff>
    </xdr:from>
    <xdr:to>
      <xdr:col>14</xdr:col>
      <xdr:colOff>509586</xdr:colOff>
      <xdr:row>206</xdr:row>
      <xdr:rowOff>107420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195262</xdr:colOff>
      <xdr:row>228</xdr:row>
      <xdr:rowOff>138112</xdr:rowOff>
    </xdr:from>
    <xdr:to>
      <xdr:col>14</xdr:col>
      <xdr:colOff>500062</xdr:colOff>
      <xdr:row>237</xdr:row>
      <xdr:rowOff>52387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714375</xdr:colOff>
      <xdr:row>7</xdr:row>
      <xdr:rowOff>9525</xdr:rowOff>
    </xdr:to>
    <xdr:pic>
      <xdr:nvPicPr>
        <xdr:cNvPr id="2" name="Picture 1" descr="http://www.valvinglogic.com/images/spacer75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9730025"/>
          <a:ext cx="7143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4</xdr:col>
      <xdr:colOff>114300</xdr:colOff>
      <xdr:row>7</xdr:row>
      <xdr:rowOff>9525</xdr:rowOff>
    </xdr:to>
    <xdr:pic>
      <xdr:nvPicPr>
        <xdr:cNvPr id="3" name="Picture 2" descr="http://www.valvinglogic.com/images/spacer140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49730025"/>
          <a:ext cx="13335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8</xdr:col>
      <xdr:colOff>400050</xdr:colOff>
      <xdr:row>7</xdr:row>
      <xdr:rowOff>9525</xdr:rowOff>
    </xdr:to>
    <xdr:pic>
      <xdr:nvPicPr>
        <xdr:cNvPr id="4" name="Picture 3" descr="http://www.valvinglogic.com/images/spacer362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49730025"/>
          <a:ext cx="34480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419100</xdr:colOff>
      <xdr:row>7</xdr:row>
      <xdr:rowOff>9525</xdr:rowOff>
    </xdr:to>
    <xdr:pic>
      <xdr:nvPicPr>
        <xdr:cNvPr id="5" name="Picture 4" descr="http://www.valvinglogic.com/images/spacer44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49730025"/>
          <a:ext cx="4191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419100</xdr:colOff>
      <xdr:row>7</xdr:row>
      <xdr:rowOff>9525</xdr:rowOff>
    </xdr:to>
    <xdr:pic>
      <xdr:nvPicPr>
        <xdr:cNvPr id="6" name="Picture 5" descr="http://www.valvinglogic.com/images/spacer44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49730025"/>
          <a:ext cx="4191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419100</xdr:colOff>
      <xdr:row>7</xdr:row>
      <xdr:rowOff>9525</xdr:rowOff>
    </xdr:to>
    <xdr:pic>
      <xdr:nvPicPr>
        <xdr:cNvPr id="7" name="Picture 6" descr="http://www.valvinglogic.com/images/spacer44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49730025"/>
          <a:ext cx="4191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419100</xdr:colOff>
      <xdr:row>7</xdr:row>
      <xdr:rowOff>9525</xdr:rowOff>
    </xdr:to>
    <xdr:pic>
      <xdr:nvPicPr>
        <xdr:cNvPr id="8" name="Picture 7" descr="http://www.valvinglogic.com/images/spacer44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49730025"/>
          <a:ext cx="4191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419100</xdr:colOff>
      <xdr:row>7</xdr:row>
      <xdr:rowOff>9525</xdr:rowOff>
    </xdr:to>
    <xdr:pic>
      <xdr:nvPicPr>
        <xdr:cNvPr id="9" name="Picture 8" descr="http://www.valvinglogic.com/images/spacer44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49730025"/>
          <a:ext cx="4191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419100</xdr:colOff>
      <xdr:row>7</xdr:row>
      <xdr:rowOff>9525</xdr:rowOff>
    </xdr:to>
    <xdr:pic>
      <xdr:nvPicPr>
        <xdr:cNvPr id="10" name="Picture 9" descr="http://www.valvinglogic.com/images/spacer44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49730025"/>
          <a:ext cx="4191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419100</xdr:colOff>
      <xdr:row>7</xdr:row>
      <xdr:rowOff>9525</xdr:rowOff>
    </xdr:to>
    <xdr:pic>
      <xdr:nvPicPr>
        <xdr:cNvPr id="11" name="Picture 10" descr="http://www.valvinglogic.com/images/spacer44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49730025"/>
          <a:ext cx="4191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419100</xdr:colOff>
      <xdr:row>7</xdr:row>
      <xdr:rowOff>9525</xdr:rowOff>
    </xdr:to>
    <xdr:pic>
      <xdr:nvPicPr>
        <xdr:cNvPr id="12" name="Picture 11" descr="http://www.valvinglogic.com/images/spacer44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49730025"/>
          <a:ext cx="4191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419100</xdr:colOff>
      <xdr:row>7</xdr:row>
      <xdr:rowOff>9525</xdr:rowOff>
    </xdr:to>
    <xdr:pic>
      <xdr:nvPicPr>
        <xdr:cNvPr id="13" name="Picture 12" descr="http://www.valvinglogic.com/images/spacer44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49730025"/>
          <a:ext cx="4191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419100</xdr:colOff>
      <xdr:row>7</xdr:row>
      <xdr:rowOff>9525</xdr:rowOff>
    </xdr:to>
    <xdr:pic>
      <xdr:nvPicPr>
        <xdr:cNvPr id="14" name="Picture 13" descr="http://www.valvinglogic.com/images/spacer44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49730025"/>
          <a:ext cx="4191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419100</xdr:colOff>
      <xdr:row>7</xdr:row>
      <xdr:rowOff>9525</xdr:rowOff>
    </xdr:to>
    <xdr:pic>
      <xdr:nvPicPr>
        <xdr:cNvPr id="15" name="Picture 14" descr="http://www.valvinglogic.com/images/spacer44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49730025"/>
          <a:ext cx="4191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419100</xdr:colOff>
      <xdr:row>7</xdr:row>
      <xdr:rowOff>9525</xdr:rowOff>
    </xdr:to>
    <xdr:pic>
      <xdr:nvPicPr>
        <xdr:cNvPr id="16" name="Picture 15" descr="http://www.valvinglogic.com/images/spacer44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5450" y="49730025"/>
          <a:ext cx="4191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419100</xdr:colOff>
      <xdr:row>7</xdr:row>
      <xdr:rowOff>9525</xdr:rowOff>
    </xdr:to>
    <xdr:pic>
      <xdr:nvPicPr>
        <xdr:cNvPr id="17" name="Picture 16" descr="http://www.valvinglogic.com/images/spacer44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5050" y="49730025"/>
          <a:ext cx="4191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20</xdr:col>
      <xdr:colOff>9525</xdr:colOff>
      <xdr:row>7</xdr:row>
      <xdr:rowOff>9525</xdr:rowOff>
    </xdr:to>
    <xdr:pic>
      <xdr:nvPicPr>
        <xdr:cNvPr id="18" name="Picture 17" descr="http://www.valvinglogic.com/images/spacer1235.gif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9920525"/>
          <a:ext cx="117633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130704</xdr:colOff>
      <xdr:row>30</xdr:row>
      <xdr:rowOff>20636</xdr:rowOff>
    </xdr:from>
    <xdr:to>
      <xdr:col>14</xdr:col>
      <xdr:colOff>435504</xdr:colOff>
      <xdr:row>37</xdr:row>
      <xdr:rowOff>35718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125677</xdr:colOff>
      <xdr:row>58</xdr:row>
      <xdr:rowOff>32543</xdr:rowOff>
    </xdr:from>
    <xdr:to>
      <xdr:col>14</xdr:col>
      <xdr:colOff>434711</xdr:colOff>
      <xdr:row>66</xdr:row>
      <xdr:rowOff>113506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210341</xdr:colOff>
      <xdr:row>68</xdr:row>
      <xdr:rowOff>37308</xdr:rowOff>
    </xdr:from>
    <xdr:to>
      <xdr:col>14</xdr:col>
      <xdr:colOff>309563</xdr:colOff>
      <xdr:row>86</xdr:row>
      <xdr:rowOff>142875</xdr:rowOff>
    </xdr:to>
    <xdr:graphicFrame macro="">
      <xdr:nvGraphicFramePr>
        <xdr:cNvPr id="22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577453</xdr:colOff>
      <xdr:row>186</xdr:row>
      <xdr:rowOff>158353</xdr:rowOff>
    </xdr:from>
    <xdr:to>
      <xdr:col>13</xdr:col>
      <xdr:colOff>304561</xdr:colOff>
      <xdr:row>199</xdr:row>
      <xdr:rowOff>3095</xdr:rowOff>
    </xdr:to>
    <xdr:graphicFrame macro="">
      <xdr:nvGraphicFramePr>
        <xdr:cNvPr id="24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714375</xdr:colOff>
      <xdr:row>7</xdr:row>
      <xdr:rowOff>9525</xdr:rowOff>
    </xdr:to>
    <xdr:pic>
      <xdr:nvPicPr>
        <xdr:cNvPr id="2" name="Picture 1" descr="http://www.valvinglogic.com/images/spacer75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1794450"/>
          <a:ext cx="7143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4</xdr:col>
      <xdr:colOff>114300</xdr:colOff>
      <xdr:row>7</xdr:row>
      <xdr:rowOff>9525</xdr:rowOff>
    </xdr:to>
    <xdr:pic>
      <xdr:nvPicPr>
        <xdr:cNvPr id="3" name="Picture 2" descr="http://www.valvinglogic.com/images/spacer140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31794450"/>
          <a:ext cx="13335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8</xdr:col>
      <xdr:colOff>400050</xdr:colOff>
      <xdr:row>7</xdr:row>
      <xdr:rowOff>9525</xdr:rowOff>
    </xdr:to>
    <xdr:pic>
      <xdr:nvPicPr>
        <xdr:cNvPr id="4" name="Picture 3" descr="http://www.valvinglogic.com/images/spacer362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31794450"/>
          <a:ext cx="344805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419100</xdr:colOff>
      <xdr:row>7</xdr:row>
      <xdr:rowOff>9525</xdr:rowOff>
    </xdr:to>
    <xdr:pic>
      <xdr:nvPicPr>
        <xdr:cNvPr id="5" name="Picture 4" descr="http://www.valvinglogic.com/images/spacer44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31794450"/>
          <a:ext cx="4191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419100</xdr:colOff>
      <xdr:row>7</xdr:row>
      <xdr:rowOff>9525</xdr:rowOff>
    </xdr:to>
    <xdr:pic>
      <xdr:nvPicPr>
        <xdr:cNvPr id="6" name="Picture 5" descr="http://www.valvinglogic.com/images/spacer44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31794450"/>
          <a:ext cx="4191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419100</xdr:colOff>
      <xdr:row>7</xdr:row>
      <xdr:rowOff>9525</xdr:rowOff>
    </xdr:to>
    <xdr:pic>
      <xdr:nvPicPr>
        <xdr:cNvPr id="7" name="Picture 6" descr="http://www.valvinglogic.com/images/spacer44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31794450"/>
          <a:ext cx="4191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419100</xdr:colOff>
      <xdr:row>7</xdr:row>
      <xdr:rowOff>9525</xdr:rowOff>
    </xdr:to>
    <xdr:pic>
      <xdr:nvPicPr>
        <xdr:cNvPr id="8" name="Picture 7" descr="http://www.valvinglogic.com/images/spacer44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31794450"/>
          <a:ext cx="4191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419100</xdr:colOff>
      <xdr:row>7</xdr:row>
      <xdr:rowOff>9525</xdr:rowOff>
    </xdr:to>
    <xdr:pic>
      <xdr:nvPicPr>
        <xdr:cNvPr id="9" name="Picture 8" descr="http://www.valvinglogic.com/images/spacer44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1794450"/>
          <a:ext cx="4191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419100</xdr:colOff>
      <xdr:row>7</xdr:row>
      <xdr:rowOff>9525</xdr:rowOff>
    </xdr:to>
    <xdr:pic>
      <xdr:nvPicPr>
        <xdr:cNvPr id="10" name="Picture 9" descr="http://www.valvinglogic.com/images/spacer44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31794450"/>
          <a:ext cx="4191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419100</xdr:colOff>
      <xdr:row>7</xdr:row>
      <xdr:rowOff>9525</xdr:rowOff>
    </xdr:to>
    <xdr:pic>
      <xdr:nvPicPr>
        <xdr:cNvPr id="11" name="Picture 10" descr="http://www.valvinglogic.com/images/spacer44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31794450"/>
          <a:ext cx="4191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7</xdr:row>
      <xdr:rowOff>0</xdr:rowOff>
    </xdr:from>
    <xdr:to>
      <xdr:col>11</xdr:col>
      <xdr:colOff>419100</xdr:colOff>
      <xdr:row>7</xdr:row>
      <xdr:rowOff>9525</xdr:rowOff>
    </xdr:to>
    <xdr:pic>
      <xdr:nvPicPr>
        <xdr:cNvPr id="12" name="Picture 11" descr="http://www.valvinglogic.com/images/spacer44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31794450"/>
          <a:ext cx="4191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419100</xdr:colOff>
      <xdr:row>7</xdr:row>
      <xdr:rowOff>9525</xdr:rowOff>
    </xdr:to>
    <xdr:pic>
      <xdr:nvPicPr>
        <xdr:cNvPr id="13" name="Picture 12" descr="http://www.valvinglogic.com/images/spacer44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31794450"/>
          <a:ext cx="4191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419100</xdr:colOff>
      <xdr:row>7</xdr:row>
      <xdr:rowOff>9525</xdr:rowOff>
    </xdr:to>
    <xdr:pic>
      <xdr:nvPicPr>
        <xdr:cNvPr id="14" name="Picture 13" descr="http://www.valvinglogic.com/images/spacer44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31794450"/>
          <a:ext cx="4191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419100</xdr:colOff>
      <xdr:row>7</xdr:row>
      <xdr:rowOff>9525</xdr:rowOff>
    </xdr:to>
    <xdr:pic>
      <xdr:nvPicPr>
        <xdr:cNvPr id="15" name="Picture 14" descr="http://www.valvinglogic.com/images/spacer44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31794450"/>
          <a:ext cx="4191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419100</xdr:colOff>
      <xdr:row>7</xdr:row>
      <xdr:rowOff>9525</xdr:rowOff>
    </xdr:to>
    <xdr:pic>
      <xdr:nvPicPr>
        <xdr:cNvPr id="16" name="Picture 15" descr="http://www.valvinglogic.com/images/spacer44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5450" y="31794450"/>
          <a:ext cx="4191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419100</xdr:colOff>
      <xdr:row>7</xdr:row>
      <xdr:rowOff>9525</xdr:rowOff>
    </xdr:to>
    <xdr:pic>
      <xdr:nvPicPr>
        <xdr:cNvPr id="17" name="Picture 16" descr="http://www.valvinglogic.com/images/spacer44.gif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5050" y="31794450"/>
          <a:ext cx="4191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342369</xdr:colOff>
      <xdr:row>33</xdr:row>
      <xdr:rowOff>154255</xdr:rowOff>
    </xdr:from>
    <xdr:to>
      <xdr:col>16</xdr:col>
      <xdr:colOff>3702</xdr:colOff>
      <xdr:row>51</xdr:row>
      <xdr:rowOff>39955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242887</xdr:colOff>
      <xdr:row>72</xdr:row>
      <xdr:rowOff>114299</xdr:rowOff>
    </xdr:from>
    <xdr:to>
      <xdr:col>14</xdr:col>
      <xdr:colOff>547687</xdr:colOff>
      <xdr:row>81</xdr:row>
      <xdr:rowOff>28574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83345</xdr:colOff>
      <xdr:row>58</xdr:row>
      <xdr:rowOff>142875</xdr:rowOff>
    </xdr:from>
    <xdr:to>
      <xdr:col>19</xdr:col>
      <xdr:colOff>11906</xdr:colOff>
      <xdr:row>59</xdr:row>
      <xdr:rowOff>83343</xdr:rowOff>
    </xdr:to>
    <xdr:cxnSp macro="">
      <xdr:nvCxnSpPr>
        <xdr:cNvPr id="24" name="Straight Arrow Connector 23"/>
        <xdr:cNvCxnSpPr/>
      </xdr:nvCxnSpPr>
      <xdr:spPr>
        <a:xfrm flipH="1">
          <a:off x="10584658" y="8834438"/>
          <a:ext cx="1142998" cy="130968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508001</xdr:colOff>
      <xdr:row>138</xdr:row>
      <xdr:rowOff>83610</xdr:rowOff>
    </xdr:from>
    <xdr:to>
      <xdr:col>8</xdr:col>
      <xdr:colOff>1</xdr:colOff>
      <xdr:row>146</xdr:row>
      <xdr:rowOff>127001</xdr:rowOff>
    </xdr:to>
    <xdr:graphicFrame macro="">
      <xdr:nvGraphicFramePr>
        <xdr:cNvPr id="27" name="Chart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460373</xdr:colOff>
      <xdr:row>205</xdr:row>
      <xdr:rowOff>62442</xdr:rowOff>
    </xdr:from>
    <xdr:to>
      <xdr:col>13</xdr:col>
      <xdr:colOff>141179</xdr:colOff>
      <xdr:row>218</xdr:row>
      <xdr:rowOff>10372</xdr:rowOff>
    </xdr:to>
    <xdr:graphicFrame macro="">
      <xdr:nvGraphicFramePr>
        <xdr:cNvPr id="28" name="Chart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R374"/>
  <sheetViews>
    <sheetView showGridLines="0" tabSelected="1" zoomScale="90" zoomScaleNormal="90" workbookViewId="0"/>
  </sheetViews>
  <sheetFormatPr defaultRowHeight="12.75" x14ac:dyDescent="0.2"/>
  <cols>
    <col min="2" max="2" width="11.7109375" customWidth="1"/>
  </cols>
  <sheetData>
    <row r="1" spans="1:17" x14ac:dyDescent="0.2">
      <c r="A1" t="s">
        <v>15</v>
      </c>
      <c r="J1" s="57" t="s">
        <v>95</v>
      </c>
    </row>
    <row r="2" spans="1:17" x14ac:dyDescent="0.2">
      <c r="A2" s="18" t="s">
        <v>88</v>
      </c>
      <c r="J2" s="57" t="s">
        <v>97</v>
      </c>
    </row>
    <row r="3" spans="1:17" x14ac:dyDescent="0.2">
      <c r="A3" s="18" t="s">
        <v>89</v>
      </c>
    </row>
    <row r="4" spans="1:17" x14ac:dyDescent="0.2">
      <c r="B4" s="54" t="s">
        <v>91</v>
      </c>
    </row>
    <row r="5" spans="1:17" x14ac:dyDescent="0.2">
      <c r="A5" s="54"/>
      <c r="B5" s="87" t="s">
        <v>96</v>
      </c>
    </row>
    <row r="6" spans="1:17" x14ac:dyDescent="0.2">
      <c r="A6" s="54"/>
      <c r="B6" s="54" t="s">
        <v>92</v>
      </c>
    </row>
    <row r="7" spans="1:17" x14ac:dyDescent="0.2">
      <c r="A7" s="54"/>
      <c r="B7" s="54" t="s">
        <v>93</v>
      </c>
    </row>
    <row r="8" spans="1:17" x14ac:dyDescent="0.2">
      <c r="A8" s="54"/>
      <c r="B8" s="87" t="s">
        <v>98</v>
      </c>
    </row>
    <row r="10" spans="1:17" x14ac:dyDescent="0.2">
      <c r="A10" s="55" t="s">
        <v>16</v>
      </c>
    </row>
    <row r="11" spans="1:17" ht="15" x14ac:dyDescent="0.2">
      <c r="B11" s="1" t="s">
        <v>0</v>
      </c>
      <c r="C11" s="1" t="s">
        <v>1</v>
      </c>
      <c r="D11" s="2" t="s">
        <v>2</v>
      </c>
      <c r="E11" s="1"/>
      <c r="F11" s="1">
        <v>1</v>
      </c>
      <c r="G11" s="1">
        <v>2</v>
      </c>
      <c r="H11" s="1">
        <v>3</v>
      </c>
      <c r="I11" s="1">
        <v>4</v>
      </c>
      <c r="J11" s="1">
        <v>5</v>
      </c>
      <c r="K11" s="1">
        <v>10</v>
      </c>
      <c r="L11" s="1">
        <v>20</v>
      </c>
      <c r="M11" s="1">
        <v>30</v>
      </c>
      <c r="N11" s="1">
        <v>40</v>
      </c>
      <c r="O11" s="1">
        <v>50</v>
      </c>
      <c r="P11" s="1">
        <v>60</v>
      </c>
      <c r="Q11" s="1">
        <v>70</v>
      </c>
    </row>
    <row r="12" spans="1:17" ht="15" customHeight="1" x14ac:dyDescent="0.2">
      <c r="B12" s="3">
        <v>1493</v>
      </c>
      <c r="C12" s="89"/>
      <c r="D12" s="92"/>
      <c r="E12" s="8" t="s">
        <v>4</v>
      </c>
      <c r="F12" s="110" t="s">
        <v>5</v>
      </c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2"/>
    </row>
    <row r="13" spans="1:17" ht="15" x14ac:dyDescent="0.2">
      <c r="B13" s="4" t="s">
        <v>3</v>
      </c>
      <c r="C13" s="90"/>
      <c r="D13" s="93"/>
      <c r="E13" s="9" t="s">
        <v>6</v>
      </c>
      <c r="F13" s="9">
        <v>7.2</v>
      </c>
      <c r="G13" s="9">
        <v>9.6</v>
      </c>
      <c r="H13" s="10">
        <v>12.2</v>
      </c>
      <c r="I13" s="9">
        <v>14.2</v>
      </c>
      <c r="J13" s="9">
        <v>15.2</v>
      </c>
      <c r="K13" s="10">
        <v>19.399999999999999</v>
      </c>
      <c r="L13" s="9">
        <v>26.4</v>
      </c>
      <c r="M13" s="9">
        <v>33.799999999999997</v>
      </c>
      <c r="N13" s="10">
        <v>42</v>
      </c>
      <c r="O13" s="9">
        <v>51.2</v>
      </c>
      <c r="P13" s="9">
        <v>61.4</v>
      </c>
      <c r="Q13" s="10">
        <v>71.400000000000006</v>
      </c>
    </row>
    <row r="14" spans="1:17" ht="15" x14ac:dyDescent="0.2">
      <c r="B14" s="5">
        <v>41326</v>
      </c>
      <c r="C14" s="90"/>
      <c r="D14" s="93"/>
      <c r="E14" s="9" t="s">
        <v>7</v>
      </c>
      <c r="F14" s="9">
        <v>-6.8</v>
      </c>
      <c r="G14" s="9">
        <v>-8.8000000000000007</v>
      </c>
      <c r="H14" s="10">
        <v>-11.2</v>
      </c>
      <c r="I14" s="9">
        <v>-14</v>
      </c>
      <c r="J14" s="9">
        <v>-17.600000000000001</v>
      </c>
      <c r="K14" s="10">
        <v>-35</v>
      </c>
      <c r="L14" s="9">
        <v>-70</v>
      </c>
      <c r="M14" s="9">
        <v>-104.6</v>
      </c>
      <c r="N14" s="10">
        <v>-139.4</v>
      </c>
      <c r="O14" s="9">
        <v>-176.2</v>
      </c>
      <c r="P14" s="9">
        <v>-215</v>
      </c>
      <c r="Q14" s="10">
        <v>-250.8</v>
      </c>
    </row>
    <row r="15" spans="1:17" ht="15" x14ac:dyDescent="0.2">
      <c r="B15" s="6"/>
      <c r="C15" s="90"/>
      <c r="D15" s="93"/>
      <c r="E15" s="11" t="s">
        <v>8</v>
      </c>
      <c r="F15" s="12">
        <v>-6.8</v>
      </c>
      <c r="G15" s="12">
        <v>-4.4000000000000004</v>
      </c>
      <c r="H15" s="12">
        <v>-3.7</v>
      </c>
      <c r="I15" s="12">
        <v>-3.5</v>
      </c>
      <c r="J15" s="12">
        <v>-3.5</v>
      </c>
      <c r="K15" s="12">
        <v>-3.5</v>
      </c>
      <c r="L15" s="12">
        <v>-3.5</v>
      </c>
      <c r="M15" s="12">
        <v>-3.5</v>
      </c>
      <c r="N15" s="12">
        <v>-3.5</v>
      </c>
      <c r="O15" s="12">
        <v>-3.5</v>
      </c>
      <c r="P15" s="12">
        <v>-3.6</v>
      </c>
      <c r="Q15" s="12">
        <v>-3.6</v>
      </c>
    </row>
    <row r="16" spans="1:17" ht="15" x14ac:dyDescent="0.2">
      <c r="B16" s="6"/>
      <c r="C16" s="90"/>
      <c r="D16" s="93"/>
      <c r="E16" s="8" t="s">
        <v>9</v>
      </c>
      <c r="F16" s="8">
        <v>1.1000000000000001</v>
      </c>
      <c r="G16" s="8">
        <v>0.71</v>
      </c>
      <c r="H16" s="13">
        <v>0.6</v>
      </c>
      <c r="I16" s="8">
        <v>0.56999999999999995</v>
      </c>
      <c r="J16" s="8">
        <v>0.56999999999999995</v>
      </c>
      <c r="K16" s="13">
        <v>0.56999999999999995</v>
      </c>
      <c r="L16" s="8">
        <v>0.56999999999999995</v>
      </c>
      <c r="M16" s="8">
        <v>0.56999999999999995</v>
      </c>
      <c r="N16" s="13">
        <v>0.56999999999999995</v>
      </c>
      <c r="O16" s="8">
        <v>0.56999999999999995</v>
      </c>
      <c r="P16" s="8">
        <v>0.57999999999999996</v>
      </c>
      <c r="Q16" s="13">
        <v>0.57999999999999996</v>
      </c>
    </row>
    <row r="17" spans="2:18" ht="15" x14ac:dyDescent="0.2">
      <c r="B17" s="7"/>
      <c r="C17" s="91"/>
      <c r="D17" s="94"/>
      <c r="E17" s="14" t="s">
        <v>10</v>
      </c>
      <c r="F17" s="14">
        <v>0.9</v>
      </c>
      <c r="G17" s="14">
        <v>0.9</v>
      </c>
      <c r="H17" s="15">
        <v>0.9</v>
      </c>
      <c r="I17" s="14">
        <v>1</v>
      </c>
      <c r="J17" s="14">
        <v>1.2</v>
      </c>
      <c r="K17" s="15">
        <v>1.8</v>
      </c>
      <c r="L17" s="14">
        <v>2.7</v>
      </c>
      <c r="M17" s="14">
        <v>3.1</v>
      </c>
      <c r="N17" s="15">
        <v>3.3</v>
      </c>
      <c r="O17" s="14">
        <v>3.4</v>
      </c>
      <c r="P17" s="14">
        <v>3.5</v>
      </c>
      <c r="Q17" s="15">
        <v>3.5</v>
      </c>
      <c r="R17" s="39">
        <f>(Q14/Q13)*-1</f>
        <v>3.5126050420168067</v>
      </c>
    </row>
    <row r="18" spans="2:18" x14ac:dyDescent="0.2">
      <c r="B18" s="95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7"/>
    </row>
    <row r="19" spans="2:18" x14ac:dyDescent="0.2">
      <c r="B19" s="98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100"/>
    </row>
    <row r="20" spans="2:18" ht="15" customHeight="1" x14ac:dyDescent="0.2">
      <c r="B20" s="3">
        <v>1507</v>
      </c>
      <c r="C20" s="89"/>
      <c r="D20" s="92"/>
      <c r="E20" s="8" t="s">
        <v>4</v>
      </c>
      <c r="F20" s="110" t="s">
        <v>5</v>
      </c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2"/>
    </row>
    <row r="21" spans="2:18" ht="15" x14ac:dyDescent="0.2">
      <c r="B21" s="4" t="s">
        <v>3</v>
      </c>
      <c r="C21" s="90"/>
      <c r="D21" s="93"/>
      <c r="E21" s="9" t="s">
        <v>6</v>
      </c>
      <c r="F21" s="9">
        <v>6.4</v>
      </c>
      <c r="G21" s="9">
        <v>10.4</v>
      </c>
      <c r="H21" s="10">
        <v>12.4</v>
      </c>
      <c r="I21" s="9">
        <v>14.8</v>
      </c>
      <c r="J21" s="9">
        <v>15.8</v>
      </c>
      <c r="K21" s="10">
        <v>20.6</v>
      </c>
      <c r="L21" s="9">
        <v>25.6</v>
      </c>
      <c r="M21" s="9">
        <v>31.6</v>
      </c>
      <c r="N21" s="10">
        <v>38.4</v>
      </c>
      <c r="O21" s="9">
        <v>46.2</v>
      </c>
      <c r="P21" s="9">
        <v>55</v>
      </c>
      <c r="Q21" s="10">
        <v>63.8</v>
      </c>
    </row>
    <row r="22" spans="2:18" ht="15" x14ac:dyDescent="0.2">
      <c r="B22" s="5">
        <v>41350</v>
      </c>
      <c r="C22" s="90"/>
      <c r="D22" s="93"/>
      <c r="E22" s="9" t="s">
        <v>7</v>
      </c>
      <c r="F22" s="9">
        <v>-5.2</v>
      </c>
      <c r="G22" s="9">
        <v>-7.8</v>
      </c>
      <c r="H22" s="10">
        <v>-10.8</v>
      </c>
      <c r="I22" s="9">
        <v>-14.6</v>
      </c>
      <c r="J22" s="9">
        <v>-18</v>
      </c>
      <c r="K22" s="10">
        <v>-41.6</v>
      </c>
      <c r="L22" s="9">
        <v>-89.4</v>
      </c>
      <c r="M22" s="9">
        <v>-136.80000000000001</v>
      </c>
      <c r="N22" s="10">
        <v>-187</v>
      </c>
      <c r="O22" s="9">
        <v>-240.4</v>
      </c>
      <c r="P22" s="9">
        <v>-292.8</v>
      </c>
      <c r="Q22" s="10">
        <v>-346</v>
      </c>
    </row>
    <row r="23" spans="2:18" ht="15" x14ac:dyDescent="0.2">
      <c r="B23" s="6"/>
      <c r="C23" s="90"/>
      <c r="D23" s="93"/>
      <c r="E23" s="11" t="s">
        <v>8</v>
      </c>
      <c r="F23" s="12">
        <v>-5.2</v>
      </c>
      <c r="G23" s="12">
        <v>-3.9</v>
      </c>
      <c r="H23" s="12">
        <v>-3.6</v>
      </c>
      <c r="I23" s="12">
        <v>-3.7</v>
      </c>
      <c r="J23" s="12">
        <v>-3.6</v>
      </c>
      <c r="K23" s="12">
        <v>-4.2</v>
      </c>
      <c r="L23" s="12">
        <v>-4.5</v>
      </c>
      <c r="M23" s="12">
        <v>-4.5999999999999996</v>
      </c>
      <c r="N23" s="12">
        <v>-4.7</v>
      </c>
      <c r="O23" s="12">
        <v>-4.8</v>
      </c>
      <c r="P23" s="12">
        <v>-4.9000000000000004</v>
      </c>
      <c r="Q23" s="12">
        <v>-4.9000000000000004</v>
      </c>
    </row>
    <row r="24" spans="2:18" ht="15" x14ac:dyDescent="0.2">
      <c r="B24" s="6"/>
      <c r="C24" s="90"/>
      <c r="D24" s="93"/>
      <c r="E24" s="8" t="s">
        <v>9</v>
      </c>
      <c r="F24" s="8">
        <v>0.84</v>
      </c>
      <c r="G24" s="8">
        <v>0.63</v>
      </c>
      <c r="H24" s="13">
        <v>0.57999999999999996</v>
      </c>
      <c r="I24" s="8">
        <v>0.6</v>
      </c>
      <c r="J24" s="8">
        <v>0.57999999999999996</v>
      </c>
      <c r="K24" s="13">
        <v>0.68</v>
      </c>
      <c r="L24" s="8">
        <v>0.73</v>
      </c>
      <c r="M24" s="8">
        <v>0.74</v>
      </c>
      <c r="N24" s="13">
        <v>0.76</v>
      </c>
      <c r="O24" s="8">
        <v>0.78</v>
      </c>
      <c r="P24" s="8">
        <v>0.79</v>
      </c>
      <c r="Q24" s="13">
        <v>0.79</v>
      </c>
    </row>
    <row r="25" spans="2:18" ht="15" x14ac:dyDescent="0.2">
      <c r="B25" s="7"/>
      <c r="C25" s="91"/>
      <c r="D25" s="94"/>
      <c r="E25" s="14" t="s">
        <v>10</v>
      </c>
      <c r="F25" s="14">
        <v>0.8</v>
      </c>
      <c r="G25" s="14">
        <v>0.8</v>
      </c>
      <c r="H25" s="15">
        <v>0.9</v>
      </c>
      <c r="I25" s="14">
        <v>1</v>
      </c>
      <c r="J25" s="14">
        <v>1.1000000000000001</v>
      </c>
      <c r="K25" s="15">
        <v>2</v>
      </c>
      <c r="L25" s="14">
        <v>3.5</v>
      </c>
      <c r="M25" s="14">
        <v>4.3</v>
      </c>
      <c r="N25" s="15">
        <v>4.9000000000000004</v>
      </c>
      <c r="O25" s="14">
        <v>5.2</v>
      </c>
      <c r="P25" s="14">
        <v>5.3</v>
      </c>
      <c r="Q25" s="15">
        <v>5.4</v>
      </c>
      <c r="R25" s="39">
        <f>(Q22/Q21)*-1</f>
        <v>5.4231974921630099</v>
      </c>
    </row>
    <row r="26" spans="2:18" x14ac:dyDescent="0.2">
      <c r="B26" s="95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</row>
    <row r="27" spans="2:18" x14ac:dyDescent="0.2">
      <c r="B27" s="98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100"/>
    </row>
    <row r="28" spans="2:18" ht="15" customHeight="1" x14ac:dyDescent="0.2">
      <c r="B28" s="19">
        <v>1509</v>
      </c>
      <c r="C28" s="113"/>
      <c r="D28" s="116"/>
      <c r="E28" s="20" t="s">
        <v>4</v>
      </c>
      <c r="F28" s="119" t="s">
        <v>5</v>
      </c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1"/>
    </row>
    <row r="29" spans="2:18" ht="15" x14ac:dyDescent="0.2">
      <c r="B29" s="21" t="s">
        <v>3</v>
      </c>
      <c r="C29" s="114"/>
      <c r="D29" s="117"/>
      <c r="E29" s="22" t="s">
        <v>6</v>
      </c>
      <c r="F29" s="22">
        <v>8.1999999999999993</v>
      </c>
      <c r="G29" s="22">
        <v>13</v>
      </c>
      <c r="H29" s="22">
        <v>18</v>
      </c>
      <c r="I29" s="22">
        <v>21.6</v>
      </c>
      <c r="J29" s="22">
        <v>23.4</v>
      </c>
      <c r="K29" s="22">
        <v>27.8</v>
      </c>
      <c r="L29" s="22">
        <v>33</v>
      </c>
      <c r="M29" s="22">
        <v>37.799999999999997</v>
      </c>
      <c r="N29" s="22">
        <v>41.4</v>
      </c>
      <c r="O29" s="22">
        <v>45.4</v>
      </c>
      <c r="P29" s="22">
        <v>49.2</v>
      </c>
      <c r="Q29" s="22">
        <v>52.8</v>
      </c>
    </row>
    <row r="30" spans="2:18" ht="15" x14ac:dyDescent="0.2">
      <c r="B30" s="23">
        <v>41351</v>
      </c>
      <c r="C30" s="114"/>
      <c r="D30" s="117"/>
      <c r="E30" s="22" t="s">
        <v>7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-33.6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-195.6</v>
      </c>
    </row>
    <row r="31" spans="2:18" ht="15" x14ac:dyDescent="0.2">
      <c r="B31" s="24"/>
      <c r="C31" s="114"/>
      <c r="D31" s="117"/>
      <c r="E31" s="25" t="s">
        <v>8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-3.4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-2.8</v>
      </c>
    </row>
    <row r="32" spans="2:18" ht="15" x14ac:dyDescent="0.2">
      <c r="B32" s="24"/>
      <c r="C32" s="114"/>
      <c r="D32" s="117"/>
      <c r="E32" s="20" t="s">
        <v>9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0.55000000000000004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0.45</v>
      </c>
    </row>
    <row r="33" spans="2:18" ht="15" x14ac:dyDescent="0.2">
      <c r="B33" s="27"/>
      <c r="C33" s="115"/>
      <c r="D33" s="118"/>
      <c r="E33" s="28" t="s">
        <v>10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1.2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3.7</v>
      </c>
      <c r="R33" s="39"/>
    </row>
    <row r="34" spans="2:18" x14ac:dyDescent="0.2">
      <c r="B34" s="95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2:18" x14ac:dyDescent="0.2">
      <c r="B35" s="98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100"/>
    </row>
    <row r="36" spans="2:18" ht="15" customHeight="1" x14ac:dyDescent="0.2">
      <c r="B36" s="3">
        <v>1510</v>
      </c>
      <c r="C36" s="89"/>
      <c r="D36" s="92"/>
      <c r="E36" s="8" t="s">
        <v>4</v>
      </c>
      <c r="F36" s="110" t="s">
        <v>5</v>
      </c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2"/>
    </row>
    <row r="37" spans="2:18" ht="15" x14ac:dyDescent="0.2">
      <c r="B37" s="4" t="s">
        <v>3</v>
      </c>
      <c r="C37" s="90"/>
      <c r="D37" s="93"/>
      <c r="E37" s="9" t="s">
        <v>6</v>
      </c>
      <c r="F37" s="9">
        <v>7.4</v>
      </c>
      <c r="G37" s="9">
        <v>11.6</v>
      </c>
      <c r="H37" s="10">
        <v>15.8</v>
      </c>
      <c r="I37" s="9">
        <v>18.600000000000001</v>
      </c>
      <c r="J37" s="9">
        <v>20.2</v>
      </c>
      <c r="K37" s="10">
        <v>25.8</v>
      </c>
      <c r="L37" s="9">
        <v>33</v>
      </c>
      <c r="M37" s="9">
        <v>37.200000000000003</v>
      </c>
      <c r="N37" s="10">
        <v>40.6</v>
      </c>
      <c r="O37" s="9">
        <v>44</v>
      </c>
      <c r="P37" s="9">
        <v>47.6</v>
      </c>
      <c r="Q37" s="10">
        <v>51.2</v>
      </c>
    </row>
    <row r="38" spans="2:18" ht="15" x14ac:dyDescent="0.2">
      <c r="B38" s="5">
        <v>41351</v>
      </c>
      <c r="C38" s="90"/>
      <c r="D38" s="93"/>
      <c r="E38" s="9" t="s">
        <v>7</v>
      </c>
      <c r="F38" s="9">
        <v>-7.4</v>
      </c>
      <c r="G38" s="9">
        <v>-9</v>
      </c>
      <c r="H38" s="10">
        <v>-11.4</v>
      </c>
      <c r="I38" s="9">
        <v>-14.6</v>
      </c>
      <c r="J38" s="9">
        <v>-18.399999999999999</v>
      </c>
      <c r="K38" s="10">
        <v>-43.6</v>
      </c>
      <c r="L38" s="9">
        <v>-93.2</v>
      </c>
      <c r="M38" s="9">
        <v>-140.4</v>
      </c>
      <c r="N38" s="10">
        <v>-194.6</v>
      </c>
      <c r="O38" s="9">
        <v>-250</v>
      </c>
      <c r="P38" s="9">
        <v>-302</v>
      </c>
      <c r="Q38" s="10">
        <v>-347.6</v>
      </c>
    </row>
    <row r="39" spans="2:18" ht="15" x14ac:dyDescent="0.2">
      <c r="B39" s="6"/>
      <c r="C39" s="90"/>
      <c r="D39" s="93"/>
      <c r="E39" s="11" t="s">
        <v>8</v>
      </c>
      <c r="F39" s="12">
        <v>-7.4</v>
      </c>
      <c r="G39" s="12">
        <v>-4.5</v>
      </c>
      <c r="H39" s="12">
        <v>-3.8</v>
      </c>
      <c r="I39" s="12">
        <v>-3.7</v>
      </c>
      <c r="J39" s="12">
        <v>-3.7</v>
      </c>
      <c r="K39" s="12">
        <v>-4.4000000000000004</v>
      </c>
      <c r="L39" s="12">
        <v>-4.7</v>
      </c>
      <c r="M39" s="12">
        <v>-4.7</v>
      </c>
      <c r="N39" s="12">
        <v>-4.9000000000000004</v>
      </c>
      <c r="O39" s="12">
        <v>-5</v>
      </c>
      <c r="P39" s="12">
        <v>-5</v>
      </c>
      <c r="Q39" s="12">
        <v>-5</v>
      </c>
    </row>
    <row r="40" spans="2:18" ht="15" x14ac:dyDescent="0.2">
      <c r="B40" s="6"/>
      <c r="C40" s="90"/>
      <c r="D40" s="93"/>
      <c r="E40" s="8" t="s">
        <v>9</v>
      </c>
      <c r="F40" s="8">
        <v>1.2</v>
      </c>
      <c r="G40" s="8">
        <v>0.73</v>
      </c>
      <c r="H40" s="13">
        <v>0.61</v>
      </c>
      <c r="I40" s="8">
        <v>0.6</v>
      </c>
      <c r="J40" s="8">
        <v>0.6</v>
      </c>
      <c r="K40" s="13">
        <v>0.71</v>
      </c>
      <c r="L40" s="8">
        <v>0.76</v>
      </c>
      <c r="M40" s="8">
        <v>0.76</v>
      </c>
      <c r="N40" s="13">
        <v>0.79</v>
      </c>
      <c r="O40" s="8">
        <v>0.81</v>
      </c>
      <c r="P40" s="8">
        <v>0.81</v>
      </c>
      <c r="Q40" s="13">
        <v>0.81</v>
      </c>
    </row>
    <row r="41" spans="2:18" ht="15" x14ac:dyDescent="0.2">
      <c r="B41" s="7"/>
      <c r="C41" s="91"/>
      <c r="D41" s="94"/>
      <c r="E41" s="14" t="s">
        <v>10</v>
      </c>
      <c r="F41" s="14">
        <v>1</v>
      </c>
      <c r="G41" s="14">
        <v>0.8</v>
      </c>
      <c r="H41" s="15">
        <v>0.7</v>
      </c>
      <c r="I41" s="14">
        <v>0.8</v>
      </c>
      <c r="J41" s="14">
        <v>0.9</v>
      </c>
      <c r="K41" s="15">
        <v>1.7</v>
      </c>
      <c r="L41" s="14">
        <v>2.8</v>
      </c>
      <c r="M41" s="14">
        <v>3.8</v>
      </c>
      <c r="N41" s="15">
        <v>4.8</v>
      </c>
      <c r="O41" s="14">
        <v>5.7</v>
      </c>
      <c r="P41" s="14">
        <v>6.3</v>
      </c>
      <c r="Q41" s="15">
        <v>6.8</v>
      </c>
      <c r="R41" s="39">
        <f>(Q38/Q37)*-1</f>
        <v>6.7890625</v>
      </c>
    </row>
    <row r="42" spans="2:18" x14ac:dyDescent="0.2">
      <c r="B42" s="95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7"/>
    </row>
    <row r="43" spans="2:18" x14ac:dyDescent="0.2">
      <c r="B43" s="98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100"/>
    </row>
    <row r="44" spans="2:18" ht="15" customHeight="1" x14ac:dyDescent="0.2">
      <c r="B44" s="3">
        <v>1549</v>
      </c>
      <c r="C44" s="89"/>
      <c r="D44" s="92"/>
      <c r="E44" s="8" t="s">
        <v>4</v>
      </c>
      <c r="F44" s="110" t="s">
        <v>5</v>
      </c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2"/>
    </row>
    <row r="45" spans="2:18" ht="15" x14ac:dyDescent="0.2">
      <c r="B45" s="4" t="s">
        <v>3</v>
      </c>
      <c r="C45" s="90"/>
      <c r="D45" s="93"/>
      <c r="E45" s="9" t="s">
        <v>6</v>
      </c>
      <c r="F45" s="9">
        <v>5.2</v>
      </c>
      <c r="G45" s="9">
        <v>7.4</v>
      </c>
      <c r="H45" s="10">
        <v>10.4</v>
      </c>
      <c r="I45" s="9">
        <v>13.4</v>
      </c>
      <c r="J45" s="9">
        <v>15.4</v>
      </c>
      <c r="K45" s="10">
        <v>20.8</v>
      </c>
      <c r="L45" s="9">
        <v>29</v>
      </c>
      <c r="M45" s="9">
        <v>37.4</v>
      </c>
      <c r="N45" s="10">
        <v>46.6</v>
      </c>
      <c r="O45" s="9">
        <v>56.8</v>
      </c>
      <c r="P45" s="9">
        <v>67</v>
      </c>
      <c r="Q45" s="10">
        <v>78.400000000000006</v>
      </c>
    </row>
    <row r="46" spans="2:18" ht="15" x14ac:dyDescent="0.2">
      <c r="B46" s="5">
        <v>41468</v>
      </c>
      <c r="C46" s="90"/>
      <c r="D46" s="93"/>
      <c r="E46" s="9" t="s">
        <v>7</v>
      </c>
      <c r="F46" s="9">
        <v>-5.2</v>
      </c>
      <c r="G46" s="9">
        <v>-7.4</v>
      </c>
      <c r="H46" s="10">
        <v>-10</v>
      </c>
      <c r="I46" s="9">
        <v>-13.2</v>
      </c>
      <c r="J46" s="9">
        <v>-16.8</v>
      </c>
      <c r="K46" s="10">
        <v>-35.799999999999997</v>
      </c>
      <c r="L46" s="9">
        <v>-70.400000000000006</v>
      </c>
      <c r="M46" s="9">
        <v>-105.6</v>
      </c>
      <c r="N46" s="10">
        <v>-141.6</v>
      </c>
      <c r="O46" s="9">
        <v>-179.2</v>
      </c>
      <c r="P46" s="9">
        <v>-216.8</v>
      </c>
      <c r="Q46" s="10">
        <v>-253.2</v>
      </c>
    </row>
    <row r="47" spans="2:18" ht="15" x14ac:dyDescent="0.2">
      <c r="B47" s="6"/>
      <c r="C47" s="90"/>
      <c r="D47" s="93"/>
      <c r="E47" s="11" t="s">
        <v>8</v>
      </c>
      <c r="F47" s="12">
        <v>-5.2</v>
      </c>
      <c r="G47" s="12">
        <v>-3.7</v>
      </c>
      <c r="H47" s="12">
        <v>-3.3</v>
      </c>
      <c r="I47" s="12">
        <v>-3.3</v>
      </c>
      <c r="J47" s="12">
        <v>-3.4</v>
      </c>
      <c r="K47" s="12">
        <v>-3.6</v>
      </c>
      <c r="L47" s="12">
        <v>-3.5</v>
      </c>
      <c r="M47" s="12">
        <v>-3.5</v>
      </c>
      <c r="N47" s="12">
        <v>-3.5</v>
      </c>
      <c r="O47" s="12">
        <v>-3.6</v>
      </c>
      <c r="P47" s="12">
        <v>-3.6</v>
      </c>
      <c r="Q47" s="12">
        <v>-3.6</v>
      </c>
    </row>
    <row r="48" spans="2:18" ht="15" x14ac:dyDescent="0.2">
      <c r="B48" s="6"/>
      <c r="C48" s="90"/>
      <c r="D48" s="93"/>
      <c r="E48" s="8" t="s">
        <v>9</v>
      </c>
      <c r="F48" s="8">
        <v>0.84</v>
      </c>
      <c r="G48" s="8">
        <v>0.6</v>
      </c>
      <c r="H48" s="13">
        <v>0.53</v>
      </c>
      <c r="I48" s="8">
        <v>0.53</v>
      </c>
      <c r="J48" s="8">
        <v>0.55000000000000004</v>
      </c>
      <c r="K48" s="13">
        <v>0.57999999999999996</v>
      </c>
      <c r="L48" s="8">
        <v>0.56999999999999995</v>
      </c>
      <c r="M48" s="8">
        <v>0.56999999999999995</v>
      </c>
      <c r="N48" s="13">
        <v>0.56999999999999995</v>
      </c>
      <c r="O48" s="8">
        <v>0.57999999999999996</v>
      </c>
      <c r="P48" s="8">
        <v>0.57999999999999996</v>
      </c>
      <c r="Q48" s="13">
        <v>0.57999999999999996</v>
      </c>
    </row>
    <row r="49" spans="2:18" ht="15" x14ac:dyDescent="0.2">
      <c r="B49" s="7"/>
      <c r="C49" s="91"/>
      <c r="D49" s="94"/>
      <c r="E49" s="14" t="s">
        <v>10</v>
      </c>
      <c r="F49" s="14">
        <v>1</v>
      </c>
      <c r="G49" s="14">
        <v>1</v>
      </c>
      <c r="H49" s="15">
        <v>1</v>
      </c>
      <c r="I49" s="14">
        <v>1</v>
      </c>
      <c r="J49" s="14">
        <v>1.1000000000000001</v>
      </c>
      <c r="K49" s="15">
        <v>1.7</v>
      </c>
      <c r="L49" s="14">
        <v>2.4</v>
      </c>
      <c r="M49" s="14">
        <v>2.8</v>
      </c>
      <c r="N49" s="15">
        <v>3</v>
      </c>
      <c r="O49" s="14">
        <v>3.2</v>
      </c>
      <c r="P49" s="14">
        <v>3.2</v>
      </c>
      <c r="Q49" s="15">
        <v>3.2</v>
      </c>
      <c r="R49" s="39">
        <f>(Q46/Q45)*-1</f>
        <v>3.2295918367346936</v>
      </c>
    </row>
    <row r="50" spans="2:18" x14ac:dyDescent="0.2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7"/>
    </row>
    <row r="51" spans="2:18" x14ac:dyDescent="0.2">
      <c r="B51" s="98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100"/>
    </row>
    <row r="52" spans="2:18" ht="15" customHeight="1" x14ac:dyDescent="0.2">
      <c r="B52" s="3">
        <v>1550</v>
      </c>
      <c r="C52" s="89"/>
      <c r="D52" s="92"/>
      <c r="E52" s="8" t="s">
        <v>4</v>
      </c>
      <c r="F52" s="110" t="s">
        <v>5</v>
      </c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2"/>
    </row>
    <row r="53" spans="2:18" ht="15" x14ac:dyDescent="0.2">
      <c r="B53" s="4" t="s">
        <v>3</v>
      </c>
      <c r="C53" s="90"/>
      <c r="D53" s="93"/>
      <c r="E53" s="9" t="s">
        <v>6</v>
      </c>
      <c r="F53" s="9">
        <v>6.4</v>
      </c>
      <c r="G53" s="9">
        <v>9</v>
      </c>
      <c r="H53" s="10">
        <v>11.8</v>
      </c>
      <c r="I53" s="9">
        <v>14</v>
      </c>
      <c r="J53" s="9">
        <v>16.2</v>
      </c>
      <c r="K53" s="10">
        <v>22.6</v>
      </c>
      <c r="L53" s="9">
        <v>33</v>
      </c>
      <c r="M53" s="9">
        <v>42.4</v>
      </c>
      <c r="N53" s="10">
        <v>52.8</v>
      </c>
      <c r="O53" s="9">
        <v>63.8</v>
      </c>
      <c r="P53" s="9">
        <v>75.400000000000006</v>
      </c>
      <c r="Q53" s="10">
        <v>87.4</v>
      </c>
    </row>
    <row r="54" spans="2:18" ht="15" x14ac:dyDescent="0.2">
      <c r="B54" s="5">
        <v>41471</v>
      </c>
      <c r="C54" s="90"/>
      <c r="D54" s="93"/>
      <c r="E54" s="9" t="s">
        <v>7</v>
      </c>
      <c r="F54" s="9">
        <v>-3.8</v>
      </c>
      <c r="G54" s="9">
        <v>-5.8</v>
      </c>
      <c r="H54" s="10">
        <v>-8.1999999999999993</v>
      </c>
      <c r="I54" s="9">
        <v>-11</v>
      </c>
      <c r="J54" s="9">
        <v>-14.2</v>
      </c>
      <c r="K54" s="10">
        <v>-31.4</v>
      </c>
      <c r="L54" s="9">
        <v>-66.2</v>
      </c>
      <c r="M54" s="9">
        <v>-102.4</v>
      </c>
      <c r="N54" s="10">
        <v>-138.80000000000001</v>
      </c>
      <c r="O54" s="9">
        <v>-175.6</v>
      </c>
      <c r="P54" s="9">
        <v>-213.4</v>
      </c>
      <c r="Q54" s="10">
        <v>-248</v>
      </c>
    </row>
    <row r="55" spans="2:18" ht="15" x14ac:dyDescent="0.2">
      <c r="B55" s="6"/>
      <c r="C55" s="90"/>
      <c r="D55" s="93"/>
      <c r="E55" s="11" t="s">
        <v>8</v>
      </c>
      <c r="F55" s="12">
        <v>-3.8</v>
      </c>
      <c r="G55" s="12">
        <v>-2.9</v>
      </c>
      <c r="H55" s="12">
        <v>-2.7</v>
      </c>
      <c r="I55" s="12">
        <v>-2.8</v>
      </c>
      <c r="J55" s="12">
        <v>-2.8</v>
      </c>
      <c r="K55" s="12">
        <v>-3.1</v>
      </c>
      <c r="L55" s="12">
        <v>-3.3</v>
      </c>
      <c r="M55" s="12">
        <v>-3.4</v>
      </c>
      <c r="N55" s="12">
        <v>-3.5</v>
      </c>
      <c r="O55" s="12">
        <v>-3.5</v>
      </c>
      <c r="P55" s="12">
        <v>-3.6</v>
      </c>
      <c r="Q55" s="12">
        <v>-3.5</v>
      </c>
    </row>
    <row r="56" spans="2:18" ht="15" x14ac:dyDescent="0.2">
      <c r="B56" s="6"/>
      <c r="C56" s="90"/>
      <c r="D56" s="93"/>
      <c r="E56" s="8" t="s">
        <v>9</v>
      </c>
      <c r="F56" s="8">
        <v>0.61</v>
      </c>
      <c r="G56" s="8">
        <v>0.47</v>
      </c>
      <c r="H56" s="13">
        <v>0.44</v>
      </c>
      <c r="I56" s="8">
        <v>0.45</v>
      </c>
      <c r="J56" s="8">
        <v>0.45</v>
      </c>
      <c r="K56" s="13">
        <v>0.5</v>
      </c>
      <c r="L56" s="8">
        <v>0.53</v>
      </c>
      <c r="M56" s="8">
        <v>0.55000000000000004</v>
      </c>
      <c r="N56" s="13">
        <v>0.56999999999999995</v>
      </c>
      <c r="O56" s="8">
        <v>0.56999999999999995</v>
      </c>
      <c r="P56" s="8">
        <v>0.57999999999999996</v>
      </c>
      <c r="Q56" s="13">
        <v>0.56999999999999995</v>
      </c>
    </row>
    <row r="57" spans="2:18" ht="15" x14ac:dyDescent="0.2">
      <c r="B57" s="7"/>
      <c r="C57" s="91"/>
      <c r="D57" s="94"/>
      <c r="E57" s="14" t="s">
        <v>10</v>
      </c>
      <c r="F57" s="14">
        <v>0.6</v>
      </c>
      <c r="G57" s="14">
        <v>0.6</v>
      </c>
      <c r="H57" s="15">
        <v>0.7</v>
      </c>
      <c r="I57" s="14">
        <v>0.8</v>
      </c>
      <c r="J57" s="14">
        <v>0.9</v>
      </c>
      <c r="K57" s="15">
        <v>1.4</v>
      </c>
      <c r="L57" s="14">
        <v>2</v>
      </c>
      <c r="M57" s="14">
        <v>2.4</v>
      </c>
      <c r="N57" s="15">
        <v>2.6</v>
      </c>
      <c r="O57" s="14">
        <v>2.8</v>
      </c>
      <c r="P57" s="14">
        <v>2.8</v>
      </c>
      <c r="Q57" s="15">
        <v>2.8</v>
      </c>
      <c r="R57" s="39">
        <f>(Q54/Q53)*-1</f>
        <v>2.8375286041189929</v>
      </c>
    </row>
    <row r="58" spans="2:18" x14ac:dyDescent="0.2">
      <c r="B58" s="95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7"/>
    </row>
    <row r="59" spans="2:18" x14ac:dyDescent="0.2">
      <c r="B59" s="98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100"/>
    </row>
    <row r="60" spans="2:18" ht="15" customHeight="1" x14ac:dyDescent="0.2">
      <c r="B60" s="3">
        <v>1596</v>
      </c>
      <c r="C60" s="89"/>
      <c r="D60" s="92"/>
      <c r="E60" s="8" t="s">
        <v>4</v>
      </c>
      <c r="F60" s="110" t="s">
        <v>5</v>
      </c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2"/>
    </row>
    <row r="61" spans="2:18" ht="15" x14ac:dyDescent="0.2">
      <c r="B61" s="4" t="s">
        <v>3</v>
      </c>
      <c r="C61" s="90"/>
      <c r="D61" s="93"/>
      <c r="E61" s="9" t="s">
        <v>6</v>
      </c>
      <c r="F61" s="9">
        <v>5.4</v>
      </c>
      <c r="G61" s="9">
        <v>7.6</v>
      </c>
      <c r="H61" s="10">
        <v>10.4</v>
      </c>
      <c r="I61" s="9">
        <v>12.6</v>
      </c>
      <c r="J61" s="9">
        <v>14.4</v>
      </c>
      <c r="K61" s="10">
        <v>18.600000000000001</v>
      </c>
      <c r="L61" s="9">
        <v>24.2</v>
      </c>
      <c r="M61" s="9">
        <v>29.2</v>
      </c>
      <c r="N61" s="10">
        <v>35.4</v>
      </c>
      <c r="O61" s="9">
        <v>41.6</v>
      </c>
      <c r="P61" s="9">
        <v>47.6</v>
      </c>
      <c r="Q61" s="10">
        <v>54.6</v>
      </c>
    </row>
    <row r="62" spans="2:18" ht="15" x14ac:dyDescent="0.2">
      <c r="B62" s="5">
        <v>41536</v>
      </c>
      <c r="C62" s="90"/>
      <c r="D62" s="93"/>
      <c r="E62" s="9" t="s">
        <v>7</v>
      </c>
      <c r="F62" s="9">
        <v>-5.4</v>
      </c>
      <c r="G62" s="9">
        <v>-7.4</v>
      </c>
      <c r="H62" s="10">
        <v>-10</v>
      </c>
      <c r="I62" s="9">
        <v>-13.4</v>
      </c>
      <c r="J62" s="9">
        <v>-17.399999999999999</v>
      </c>
      <c r="K62" s="10">
        <v>-42.2</v>
      </c>
      <c r="L62" s="9">
        <v>-91.8</v>
      </c>
      <c r="M62" s="9">
        <v>-139.80000000000001</v>
      </c>
      <c r="N62" s="10">
        <v>-191.8</v>
      </c>
      <c r="O62" s="9">
        <v>-246</v>
      </c>
      <c r="P62" s="9">
        <v>-296.8</v>
      </c>
      <c r="Q62" s="10">
        <v>-342.8</v>
      </c>
    </row>
    <row r="63" spans="2:18" ht="15" x14ac:dyDescent="0.2">
      <c r="B63" s="6"/>
      <c r="C63" s="90"/>
      <c r="D63" s="93"/>
      <c r="E63" s="11" t="s">
        <v>8</v>
      </c>
      <c r="F63" s="12">
        <v>-5.4</v>
      </c>
      <c r="G63" s="12">
        <v>-3.7</v>
      </c>
      <c r="H63" s="12">
        <v>-3.3</v>
      </c>
      <c r="I63" s="12">
        <v>-3.4</v>
      </c>
      <c r="J63" s="12">
        <v>-3.5</v>
      </c>
      <c r="K63" s="12">
        <v>-4.2</v>
      </c>
      <c r="L63" s="12">
        <v>-4.5999999999999996</v>
      </c>
      <c r="M63" s="12">
        <v>-4.7</v>
      </c>
      <c r="N63" s="12">
        <v>-4.8</v>
      </c>
      <c r="O63" s="12">
        <v>-4.9000000000000004</v>
      </c>
      <c r="P63" s="12">
        <v>-4.9000000000000004</v>
      </c>
      <c r="Q63" s="12">
        <v>-4.9000000000000004</v>
      </c>
    </row>
    <row r="64" spans="2:18" ht="15" x14ac:dyDescent="0.2">
      <c r="B64" s="6"/>
      <c r="C64" s="90"/>
      <c r="D64" s="93"/>
      <c r="E64" s="8" t="s">
        <v>9</v>
      </c>
      <c r="F64" s="8">
        <v>0.87</v>
      </c>
      <c r="G64" s="8">
        <v>0.6</v>
      </c>
      <c r="H64" s="13">
        <v>0.53</v>
      </c>
      <c r="I64" s="8">
        <v>0.55000000000000004</v>
      </c>
      <c r="J64" s="8">
        <v>0.56999999999999995</v>
      </c>
      <c r="K64" s="13">
        <v>0.68</v>
      </c>
      <c r="L64" s="8">
        <v>0.74</v>
      </c>
      <c r="M64" s="8">
        <v>0.76</v>
      </c>
      <c r="N64" s="13">
        <v>0.78</v>
      </c>
      <c r="O64" s="8">
        <v>0.79</v>
      </c>
      <c r="P64" s="8">
        <v>0.79</v>
      </c>
      <c r="Q64" s="13">
        <v>0.79</v>
      </c>
    </row>
    <row r="65" spans="2:18" ht="15" x14ac:dyDescent="0.2">
      <c r="B65" s="7"/>
      <c r="C65" s="91"/>
      <c r="D65" s="94"/>
      <c r="E65" s="14" t="s">
        <v>10</v>
      </c>
      <c r="F65" s="14">
        <v>1</v>
      </c>
      <c r="G65" s="14">
        <v>1</v>
      </c>
      <c r="H65" s="15">
        <v>1</v>
      </c>
      <c r="I65" s="14">
        <v>1.1000000000000001</v>
      </c>
      <c r="J65" s="14">
        <v>1.2</v>
      </c>
      <c r="K65" s="15">
        <v>2.2999999999999998</v>
      </c>
      <c r="L65" s="14">
        <v>3.8</v>
      </c>
      <c r="M65" s="14">
        <v>4.8</v>
      </c>
      <c r="N65" s="15">
        <v>5.4</v>
      </c>
      <c r="O65" s="14">
        <v>5.9</v>
      </c>
      <c r="P65" s="14">
        <v>6.2</v>
      </c>
      <c r="Q65" s="15">
        <v>6.3</v>
      </c>
      <c r="R65" s="39">
        <f>(Q62/Q61)*-1</f>
        <v>6.2783882783882783</v>
      </c>
    </row>
    <row r="66" spans="2:18" x14ac:dyDescent="0.2">
      <c r="B66" s="95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7"/>
    </row>
    <row r="67" spans="2:18" x14ac:dyDescent="0.2">
      <c r="B67" s="98"/>
      <c r="C67" s="99"/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/>
      <c r="P67" s="99"/>
      <c r="Q67" s="100"/>
    </row>
    <row r="68" spans="2:18" ht="15" customHeight="1" x14ac:dyDescent="0.2">
      <c r="B68" s="19">
        <v>1641</v>
      </c>
      <c r="C68" s="113"/>
      <c r="D68" s="116"/>
      <c r="E68" s="20" t="s">
        <v>4</v>
      </c>
      <c r="F68" s="119" t="s">
        <v>5</v>
      </c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1"/>
    </row>
    <row r="69" spans="2:18" ht="15" x14ac:dyDescent="0.2">
      <c r="B69" s="21" t="s">
        <v>3</v>
      </c>
      <c r="C69" s="114"/>
      <c r="D69" s="117"/>
      <c r="E69" s="22" t="s">
        <v>6</v>
      </c>
      <c r="F69" s="22">
        <v>12.6</v>
      </c>
      <c r="G69" s="22">
        <v>13.4</v>
      </c>
      <c r="H69" s="22">
        <v>14</v>
      </c>
      <c r="I69" s="22">
        <v>14.6</v>
      </c>
      <c r="J69" s="22">
        <v>15.2</v>
      </c>
      <c r="K69" s="22">
        <v>18.399999999999999</v>
      </c>
      <c r="L69" s="22">
        <v>24.2</v>
      </c>
      <c r="M69" s="22">
        <v>30.6</v>
      </c>
      <c r="N69" s="22">
        <v>38.200000000000003</v>
      </c>
      <c r="O69" s="22">
        <v>46.4</v>
      </c>
      <c r="P69" s="22">
        <v>55.2</v>
      </c>
      <c r="Q69" s="22">
        <v>64.8</v>
      </c>
    </row>
    <row r="70" spans="2:18" ht="15" x14ac:dyDescent="0.2">
      <c r="B70" s="23">
        <v>41621</v>
      </c>
      <c r="C70" s="114"/>
      <c r="D70" s="117"/>
      <c r="E70" s="22" t="s">
        <v>7</v>
      </c>
      <c r="F70" s="22">
        <v>-6.2</v>
      </c>
      <c r="G70" s="22">
        <v>-8.8000000000000007</v>
      </c>
      <c r="H70" s="22">
        <v>-11.8</v>
      </c>
      <c r="I70" s="22">
        <v>-15.2</v>
      </c>
      <c r="J70" s="22">
        <v>-19.2</v>
      </c>
      <c r="K70" s="22">
        <v>-38.799999999999997</v>
      </c>
      <c r="L70" s="22">
        <v>-77.400000000000006</v>
      </c>
      <c r="M70" s="22">
        <v>-115.6</v>
      </c>
      <c r="N70" s="22">
        <v>-155.19999999999999</v>
      </c>
      <c r="O70" s="22">
        <v>-194.8</v>
      </c>
      <c r="P70" s="22">
        <v>-234</v>
      </c>
      <c r="Q70" s="22">
        <v>-271.39999999999998</v>
      </c>
    </row>
    <row r="71" spans="2:18" ht="15" x14ac:dyDescent="0.2">
      <c r="B71" s="24"/>
      <c r="C71" s="114"/>
      <c r="D71" s="117"/>
      <c r="E71" s="25" t="s">
        <v>8</v>
      </c>
      <c r="F71" s="26">
        <v>-6.2</v>
      </c>
      <c r="G71" s="26">
        <v>-4.4000000000000004</v>
      </c>
      <c r="H71" s="26">
        <v>-3.9</v>
      </c>
      <c r="I71" s="26">
        <v>-3.8</v>
      </c>
      <c r="J71" s="26">
        <v>-3.8</v>
      </c>
      <c r="K71" s="26">
        <v>-3.9</v>
      </c>
      <c r="L71" s="26">
        <v>-3.9</v>
      </c>
      <c r="M71" s="26">
        <v>-3.9</v>
      </c>
      <c r="N71" s="26">
        <v>-3.9</v>
      </c>
      <c r="O71" s="26">
        <v>-3.9</v>
      </c>
      <c r="P71" s="26">
        <v>-3.9</v>
      </c>
      <c r="Q71" s="26">
        <v>-3.9</v>
      </c>
    </row>
    <row r="72" spans="2:18" ht="15" x14ac:dyDescent="0.2">
      <c r="B72" s="24"/>
      <c r="C72" s="114"/>
      <c r="D72" s="117"/>
      <c r="E72" s="20" t="s">
        <v>9</v>
      </c>
      <c r="F72" s="20">
        <v>1</v>
      </c>
      <c r="G72" s="20">
        <v>0.71</v>
      </c>
      <c r="H72" s="20">
        <v>0.63</v>
      </c>
      <c r="I72" s="20">
        <v>0.61</v>
      </c>
      <c r="J72" s="20">
        <v>0.61</v>
      </c>
      <c r="K72" s="20">
        <v>0.63</v>
      </c>
      <c r="L72" s="20">
        <v>0.63</v>
      </c>
      <c r="M72" s="20">
        <v>0.63</v>
      </c>
      <c r="N72" s="20">
        <v>0.63</v>
      </c>
      <c r="O72" s="20">
        <v>0.63</v>
      </c>
      <c r="P72" s="20">
        <v>0.63</v>
      </c>
      <c r="Q72" s="20">
        <v>0.63</v>
      </c>
    </row>
    <row r="73" spans="2:18" ht="15" x14ac:dyDescent="0.2">
      <c r="B73" s="27"/>
      <c r="C73" s="115"/>
      <c r="D73" s="118"/>
      <c r="E73" s="28" t="s">
        <v>10</v>
      </c>
      <c r="F73" s="28">
        <v>0.5</v>
      </c>
      <c r="G73" s="28">
        <v>0.7</v>
      </c>
      <c r="H73" s="28">
        <v>0.8</v>
      </c>
      <c r="I73" s="28">
        <v>1</v>
      </c>
      <c r="J73" s="28">
        <v>1.3</v>
      </c>
      <c r="K73" s="28">
        <v>2.1</v>
      </c>
      <c r="L73" s="28">
        <v>3.2</v>
      </c>
      <c r="M73" s="28">
        <v>3.8</v>
      </c>
      <c r="N73" s="28">
        <v>4.0999999999999996</v>
      </c>
      <c r="O73" s="28">
        <v>4.2</v>
      </c>
      <c r="P73" s="28">
        <v>4.2</v>
      </c>
      <c r="Q73" s="28">
        <v>4.2</v>
      </c>
    </row>
    <row r="74" spans="2:18" x14ac:dyDescent="0.2">
      <c r="B74" s="95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7"/>
    </row>
    <row r="75" spans="2:18" x14ac:dyDescent="0.2">
      <c r="B75" s="98"/>
      <c r="C75" s="99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100"/>
    </row>
    <row r="76" spans="2:18" ht="15" customHeight="1" x14ac:dyDescent="0.2">
      <c r="B76" s="3">
        <v>1645</v>
      </c>
      <c r="C76" s="89"/>
      <c r="D76" s="92"/>
      <c r="E76" s="8" t="s">
        <v>4</v>
      </c>
      <c r="F76" s="110" t="s">
        <v>5</v>
      </c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2"/>
    </row>
    <row r="77" spans="2:18" ht="15" x14ac:dyDescent="0.2">
      <c r="B77" s="4" t="s">
        <v>3</v>
      </c>
      <c r="C77" s="90"/>
      <c r="D77" s="93"/>
      <c r="E77" s="9" t="s">
        <v>6</v>
      </c>
      <c r="F77" s="9">
        <v>5.8</v>
      </c>
      <c r="G77" s="9">
        <v>6.6</v>
      </c>
      <c r="H77" s="10">
        <v>10</v>
      </c>
      <c r="I77" s="9">
        <v>11.4</v>
      </c>
      <c r="J77" s="9">
        <v>12.2</v>
      </c>
      <c r="K77" s="10">
        <v>16</v>
      </c>
      <c r="L77" s="9">
        <v>22.6</v>
      </c>
      <c r="M77" s="9">
        <v>30</v>
      </c>
      <c r="N77" s="10">
        <v>38.200000000000003</v>
      </c>
      <c r="O77" s="9">
        <v>48</v>
      </c>
      <c r="P77" s="9">
        <v>58.6</v>
      </c>
      <c r="Q77" s="10">
        <v>68.599999999999994</v>
      </c>
    </row>
    <row r="78" spans="2:18" ht="15" x14ac:dyDescent="0.2">
      <c r="B78" s="5">
        <v>41626</v>
      </c>
      <c r="C78" s="90"/>
      <c r="D78" s="93"/>
      <c r="E78" s="9" t="s">
        <v>7</v>
      </c>
      <c r="F78" s="9">
        <v>-5.4</v>
      </c>
      <c r="G78" s="9">
        <v>-7.6</v>
      </c>
      <c r="H78" s="10">
        <v>-10.8</v>
      </c>
      <c r="I78" s="9">
        <v>-14</v>
      </c>
      <c r="J78" s="9">
        <v>-18.399999999999999</v>
      </c>
      <c r="K78" s="10">
        <v>-39.799999999999997</v>
      </c>
      <c r="L78" s="9">
        <v>-79.599999999999994</v>
      </c>
      <c r="M78" s="9">
        <v>-119.6</v>
      </c>
      <c r="N78" s="10">
        <v>-160.6</v>
      </c>
      <c r="O78" s="9">
        <v>-202</v>
      </c>
      <c r="P78" s="9">
        <v>-240.4</v>
      </c>
      <c r="Q78" s="10">
        <v>-281.2</v>
      </c>
    </row>
    <row r="79" spans="2:18" ht="15" x14ac:dyDescent="0.2">
      <c r="B79" s="6"/>
      <c r="C79" s="90"/>
      <c r="D79" s="93"/>
      <c r="E79" s="11" t="s">
        <v>8</v>
      </c>
      <c r="F79" s="12">
        <v>-5.4</v>
      </c>
      <c r="G79" s="12">
        <v>-3.8</v>
      </c>
      <c r="H79" s="12">
        <v>-3.6</v>
      </c>
      <c r="I79" s="12">
        <v>-3.5</v>
      </c>
      <c r="J79" s="12">
        <v>-3.7</v>
      </c>
      <c r="K79" s="12">
        <v>-4</v>
      </c>
      <c r="L79" s="12">
        <v>-4</v>
      </c>
      <c r="M79" s="12">
        <v>-4</v>
      </c>
      <c r="N79" s="12">
        <v>-4</v>
      </c>
      <c r="O79" s="12">
        <v>-4</v>
      </c>
      <c r="P79" s="12">
        <v>-4</v>
      </c>
      <c r="Q79" s="12">
        <v>-4</v>
      </c>
    </row>
    <row r="80" spans="2:18" ht="15" x14ac:dyDescent="0.2">
      <c r="B80" s="6"/>
      <c r="C80" s="90"/>
      <c r="D80" s="93"/>
      <c r="E80" s="8" t="s">
        <v>9</v>
      </c>
      <c r="F80" s="8">
        <v>0.87</v>
      </c>
      <c r="G80" s="8">
        <v>0.61</v>
      </c>
      <c r="H80" s="13">
        <v>0.57999999999999996</v>
      </c>
      <c r="I80" s="8">
        <v>0.56999999999999995</v>
      </c>
      <c r="J80" s="8">
        <v>0.6</v>
      </c>
      <c r="K80" s="13">
        <v>0.65</v>
      </c>
      <c r="L80" s="8">
        <v>0.65</v>
      </c>
      <c r="M80" s="8">
        <v>0.65</v>
      </c>
      <c r="N80" s="13">
        <v>0.65</v>
      </c>
      <c r="O80" s="8">
        <v>0.65</v>
      </c>
      <c r="P80" s="8">
        <v>0.65</v>
      </c>
      <c r="Q80" s="13">
        <v>0.65</v>
      </c>
    </row>
    <row r="81" spans="2:18" ht="15" x14ac:dyDescent="0.2">
      <c r="B81" s="7"/>
      <c r="C81" s="91"/>
      <c r="D81" s="94"/>
      <c r="E81" s="14" t="s">
        <v>10</v>
      </c>
      <c r="F81" s="14">
        <v>0.9</v>
      </c>
      <c r="G81" s="14">
        <v>1.2</v>
      </c>
      <c r="H81" s="15">
        <v>1.1000000000000001</v>
      </c>
      <c r="I81" s="14">
        <v>1.2</v>
      </c>
      <c r="J81" s="14">
        <v>1.5</v>
      </c>
      <c r="K81" s="15">
        <v>2.5</v>
      </c>
      <c r="L81" s="14">
        <v>3.5</v>
      </c>
      <c r="M81" s="14">
        <v>4</v>
      </c>
      <c r="N81" s="15">
        <v>4.2</v>
      </c>
      <c r="O81" s="14">
        <v>4.2</v>
      </c>
      <c r="P81" s="14">
        <v>4.0999999999999996</v>
      </c>
      <c r="Q81" s="15">
        <v>4.0999999999999996</v>
      </c>
      <c r="R81" s="39">
        <f>(Q78/Q77)*-1</f>
        <v>4.0991253644314867</v>
      </c>
    </row>
    <row r="82" spans="2:18" x14ac:dyDescent="0.2">
      <c r="B82" s="95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7"/>
    </row>
    <row r="83" spans="2:18" x14ac:dyDescent="0.2">
      <c r="B83" s="98"/>
      <c r="C83" s="99"/>
      <c r="D83" s="99"/>
      <c r="E83" s="99"/>
      <c r="F83" s="99"/>
      <c r="G83" s="99"/>
      <c r="H83" s="99"/>
      <c r="I83" s="99"/>
      <c r="J83" s="99"/>
      <c r="K83" s="99"/>
      <c r="L83" s="99"/>
      <c r="M83" s="99"/>
      <c r="N83" s="99"/>
      <c r="O83" s="99"/>
      <c r="P83" s="99"/>
      <c r="Q83" s="100"/>
    </row>
    <row r="84" spans="2:18" ht="15" customHeight="1" x14ac:dyDescent="0.2">
      <c r="B84" s="3">
        <v>1646</v>
      </c>
      <c r="C84" s="89"/>
      <c r="D84" s="92"/>
      <c r="E84" s="8" t="s">
        <v>4</v>
      </c>
      <c r="F84" s="110" t="s">
        <v>5</v>
      </c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2"/>
    </row>
    <row r="85" spans="2:18" ht="15" x14ac:dyDescent="0.2">
      <c r="B85" s="4" t="s">
        <v>3</v>
      </c>
      <c r="C85" s="90"/>
      <c r="D85" s="93"/>
      <c r="E85" s="9" t="s">
        <v>6</v>
      </c>
      <c r="F85" s="9">
        <v>6.2</v>
      </c>
      <c r="G85" s="9">
        <v>8.4</v>
      </c>
      <c r="H85" s="10">
        <v>10.4</v>
      </c>
      <c r="I85" s="9">
        <v>12.2</v>
      </c>
      <c r="J85" s="9">
        <v>13.6</v>
      </c>
      <c r="K85" s="10">
        <v>18.399999999999999</v>
      </c>
      <c r="L85" s="9">
        <v>26.2</v>
      </c>
      <c r="M85" s="9">
        <v>35</v>
      </c>
      <c r="N85" s="10">
        <v>45</v>
      </c>
      <c r="O85" s="9">
        <v>56.4</v>
      </c>
      <c r="P85" s="9">
        <v>68.8</v>
      </c>
      <c r="Q85" s="10">
        <v>81.8</v>
      </c>
    </row>
    <row r="86" spans="2:18" ht="15" x14ac:dyDescent="0.2">
      <c r="B86" s="5">
        <v>41627</v>
      </c>
      <c r="C86" s="90"/>
      <c r="D86" s="93"/>
      <c r="E86" s="9" t="s">
        <v>7</v>
      </c>
      <c r="F86" s="9">
        <v>-6.2</v>
      </c>
      <c r="G86" s="9">
        <v>-9.4</v>
      </c>
      <c r="H86" s="10">
        <v>-12.4</v>
      </c>
      <c r="I86" s="9">
        <v>-15.8</v>
      </c>
      <c r="J86" s="9">
        <v>-20</v>
      </c>
      <c r="K86" s="10">
        <v>-41.6</v>
      </c>
      <c r="L86" s="9">
        <v>-82</v>
      </c>
      <c r="M86" s="9">
        <v>-121.8</v>
      </c>
      <c r="N86" s="10">
        <v>-167</v>
      </c>
      <c r="O86" s="9">
        <v>-208.8</v>
      </c>
      <c r="P86" s="9">
        <v>-250.8</v>
      </c>
      <c r="Q86" s="10">
        <v>-284</v>
      </c>
    </row>
    <row r="87" spans="2:18" ht="15" x14ac:dyDescent="0.2">
      <c r="B87" s="6"/>
      <c r="C87" s="90"/>
      <c r="D87" s="93"/>
      <c r="E87" s="11" t="s">
        <v>8</v>
      </c>
      <c r="F87" s="12">
        <v>-6.2</v>
      </c>
      <c r="G87" s="12">
        <v>-4.7</v>
      </c>
      <c r="H87" s="12">
        <v>-4.0999999999999996</v>
      </c>
      <c r="I87" s="12">
        <v>-4</v>
      </c>
      <c r="J87" s="12">
        <v>-4</v>
      </c>
      <c r="K87" s="12">
        <v>-4.2</v>
      </c>
      <c r="L87" s="12">
        <v>-4.0999999999999996</v>
      </c>
      <c r="M87" s="12">
        <v>-4.0999999999999996</v>
      </c>
      <c r="N87" s="12">
        <v>-4.2</v>
      </c>
      <c r="O87" s="12">
        <v>-4.2</v>
      </c>
      <c r="P87" s="12">
        <v>-4.2</v>
      </c>
      <c r="Q87" s="12">
        <v>-4.0999999999999996</v>
      </c>
    </row>
    <row r="88" spans="2:18" ht="15" x14ac:dyDescent="0.2">
      <c r="B88" s="6"/>
      <c r="C88" s="90"/>
      <c r="D88" s="93"/>
      <c r="E88" s="8" t="s">
        <v>9</v>
      </c>
      <c r="F88" s="8">
        <v>1</v>
      </c>
      <c r="G88" s="8">
        <v>0.76</v>
      </c>
      <c r="H88" s="13">
        <v>0.66</v>
      </c>
      <c r="I88" s="8">
        <v>0.65</v>
      </c>
      <c r="J88" s="8">
        <v>0.65</v>
      </c>
      <c r="K88" s="13">
        <v>0.68</v>
      </c>
      <c r="L88" s="8">
        <v>0.66</v>
      </c>
      <c r="M88" s="8">
        <v>0.66</v>
      </c>
      <c r="N88" s="13">
        <v>0.68</v>
      </c>
      <c r="O88" s="8">
        <v>0.68</v>
      </c>
      <c r="P88" s="8">
        <v>0.68</v>
      </c>
      <c r="Q88" s="13">
        <v>0.66</v>
      </c>
    </row>
    <row r="89" spans="2:18" ht="15" x14ac:dyDescent="0.2">
      <c r="B89" s="7"/>
      <c r="C89" s="91"/>
      <c r="D89" s="94"/>
      <c r="E89" s="14" t="s">
        <v>10</v>
      </c>
      <c r="F89" s="14">
        <v>1</v>
      </c>
      <c r="G89" s="14">
        <v>1.1000000000000001</v>
      </c>
      <c r="H89" s="15">
        <v>1.2</v>
      </c>
      <c r="I89" s="14">
        <v>1.3</v>
      </c>
      <c r="J89" s="14">
        <v>1.5</v>
      </c>
      <c r="K89" s="15">
        <v>2.2999999999999998</v>
      </c>
      <c r="L89" s="14">
        <v>3.1</v>
      </c>
      <c r="M89" s="14">
        <v>3.5</v>
      </c>
      <c r="N89" s="15">
        <v>3.7</v>
      </c>
      <c r="O89" s="14">
        <v>3.7</v>
      </c>
      <c r="P89" s="14">
        <v>3.6</v>
      </c>
      <c r="Q89" s="15">
        <v>3.5</v>
      </c>
      <c r="R89" s="39">
        <f>(Q86/Q85)*-1</f>
        <v>3.4718826405867973</v>
      </c>
    </row>
    <row r="90" spans="2:18" x14ac:dyDescent="0.2">
      <c r="B90" s="95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7"/>
    </row>
    <row r="91" spans="2:18" x14ac:dyDescent="0.2">
      <c r="B91" s="98"/>
      <c r="C91" s="99"/>
      <c r="D91" s="99"/>
      <c r="E91" s="99"/>
      <c r="F91" s="99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100"/>
    </row>
    <row r="92" spans="2:18" ht="15" customHeight="1" x14ac:dyDescent="0.2">
      <c r="B92" s="29">
        <v>1743</v>
      </c>
      <c r="C92" s="101"/>
      <c r="D92" s="104"/>
      <c r="E92" s="30" t="s">
        <v>4</v>
      </c>
      <c r="F92" s="107" t="s">
        <v>5</v>
      </c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9"/>
    </row>
    <row r="93" spans="2:18" ht="15" x14ac:dyDescent="0.2">
      <c r="B93" s="31" t="s">
        <v>11</v>
      </c>
      <c r="C93" s="102"/>
      <c r="D93" s="105"/>
      <c r="E93" s="32" t="s">
        <v>6</v>
      </c>
      <c r="F93" s="32">
        <v>7</v>
      </c>
      <c r="G93" s="32">
        <v>9.6</v>
      </c>
      <c r="H93" s="32">
        <v>12.6</v>
      </c>
      <c r="I93" s="32">
        <v>16.8</v>
      </c>
      <c r="J93" s="32">
        <v>21</v>
      </c>
      <c r="K93" s="32">
        <v>42.8</v>
      </c>
      <c r="L93" s="32">
        <v>63.8</v>
      </c>
      <c r="M93" s="32">
        <v>78.599999999999994</v>
      </c>
      <c r="N93" s="32">
        <v>91.8</v>
      </c>
      <c r="O93" s="32">
        <v>105.8</v>
      </c>
      <c r="P93" s="32">
        <v>118.4</v>
      </c>
      <c r="Q93" s="32">
        <v>130.6</v>
      </c>
    </row>
    <row r="94" spans="2:18" ht="15" x14ac:dyDescent="0.2">
      <c r="B94" s="33">
        <v>41832</v>
      </c>
      <c r="C94" s="102"/>
      <c r="D94" s="105"/>
      <c r="E94" s="32" t="s">
        <v>7</v>
      </c>
      <c r="F94" s="32">
        <v>-4.8</v>
      </c>
      <c r="G94" s="32">
        <v>-7</v>
      </c>
      <c r="H94" s="32">
        <v>-9.8000000000000007</v>
      </c>
      <c r="I94" s="32">
        <v>-12.8</v>
      </c>
      <c r="J94" s="32">
        <v>-16.600000000000001</v>
      </c>
      <c r="K94" s="32">
        <v>-36.200000000000003</v>
      </c>
      <c r="L94" s="32">
        <v>-77.8</v>
      </c>
      <c r="M94" s="32">
        <v>-121.2</v>
      </c>
      <c r="N94" s="32">
        <v>-165.4</v>
      </c>
      <c r="O94" s="32">
        <v>-214</v>
      </c>
      <c r="P94" s="32">
        <v>-260</v>
      </c>
      <c r="Q94" s="32">
        <v>-308.8</v>
      </c>
    </row>
    <row r="95" spans="2:18" ht="15" x14ac:dyDescent="0.2">
      <c r="B95" s="34"/>
      <c r="C95" s="102"/>
      <c r="D95" s="105"/>
      <c r="E95" s="35" t="s">
        <v>8</v>
      </c>
      <c r="F95" s="36">
        <v>-4.8</v>
      </c>
      <c r="G95" s="36">
        <v>-3.5</v>
      </c>
      <c r="H95" s="36">
        <v>-3.3</v>
      </c>
      <c r="I95" s="36">
        <v>-3.2</v>
      </c>
      <c r="J95" s="36">
        <v>-3.3</v>
      </c>
      <c r="K95" s="36">
        <v>-3.6</v>
      </c>
      <c r="L95" s="36">
        <v>-3.9</v>
      </c>
      <c r="M95" s="36">
        <v>-4</v>
      </c>
      <c r="N95" s="36">
        <v>-4.0999999999999996</v>
      </c>
      <c r="O95" s="36">
        <v>-4.3</v>
      </c>
      <c r="P95" s="36">
        <v>-4.3</v>
      </c>
      <c r="Q95" s="36">
        <v>-4.4000000000000004</v>
      </c>
    </row>
    <row r="96" spans="2:18" ht="15" x14ac:dyDescent="0.2">
      <c r="B96" s="34"/>
      <c r="C96" s="102"/>
      <c r="D96" s="105"/>
      <c r="E96" s="30" t="s">
        <v>9</v>
      </c>
      <c r="F96" s="30">
        <v>0.78</v>
      </c>
      <c r="G96" s="30">
        <v>0.56999999999999995</v>
      </c>
      <c r="H96" s="30">
        <v>0.53</v>
      </c>
      <c r="I96" s="30">
        <v>0.52</v>
      </c>
      <c r="J96" s="30">
        <v>0.53</v>
      </c>
      <c r="K96" s="30">
        <v>0.57999999999999996</v>
      </c>
      <c r="L96" s="30">
        <v>0.63</v>
      </c>
      <c r="M96" s="30">
        <v>0.65</v>
      </c>
      <c r="N96" s="30">
        <v>0.66</v>
      </c>
      <c r="O96" s="30">
        <v>0.69</v>
      </c>
      <c r="P96" s="30">
        <v>0.69</v>
      </c>
      <c r="Q96" s="30">
        <v>0.71</v>
      </c>
    </row>
    <row r="97" spans="2:18" ht="15" x14ac:dyDescent="0.2">
      <c r="B97" s="37"/>
      <c r="C97" s="103"/>
      <c r="D97" s="106"/>
      <c r="E97" s="38" t="s">
        <v>10</v>
      </c>
      <c r="F97" s="38">
        <v>0.7</v>
      </c>
      <c r="G97" s="38">
        <v>0.7</v>
      </c>
      <c r="H97" s="38">
        <v>0.8</v>
      </c>
      <c r="I97" s="38">
        <v>0.8</v>
      </c>
      <c r="J97" s="38">
        <v>0.8</v>
      </c>
      <c r="K97" s="38">
        <v>0.8</v>
      </c>
      <c r="L97" s="38">
        <v>1.2</v>
      </c>
      <c r="M97" s="38">
        <v>1.5</v>
      </c>
      <c r="N97" s="38">
        <v>1.8</v>
      </c>
      <c r="O97" s="38">
        <v>2</v>
      </c>
      <c r="P97" s="38">
        <v>2.2000000000000002</v>
      </c>
      <c r="Q97" s="38">
        <v>2.4</v>
      </c>
      <c r="R97" s="39">
        <f>(Q94/Q93)*-1</f>
        <v>2.3644716692189895</v>
      </c>
    </row>
    <row r="98" spans="2:18" x14ac:dyDescent="0.2">
      <c r="B98" s="95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7"/>
    </row>
    <row r="99" spans="2:18" x14ac:dyDescent="0.2">
      <c r="B99" s="98"/>
      <c r="C99" s="99"/>
      <c r="D99" s="99"/>
      <c r="E99" s="99"/>
      <c r="F99" s="99"/>
      <c r="G99" s="99"/>
      <c r="H99" s="99"/>
      <c r="I99" s="99"/>
      <c r="J99" s="99"/>
      <c r="K99" s="99"/>
      <c r="L99" s="99"/>
      <c r="M99" s="99"/>
      <c r="N99" s="99"/>
      <c r="O99" s="99"/>
      <c r="P99" s="99"/>
      <c r="Q99" s="100"/>
    </row>
    <row r="100" spans="2:18" ht="15" customHeight="1" x14ac:dyDescent="0.2">
      <c r="B100" s="3">
        <v>1744</v>
      </c>
      <c r="C100" s="89"/>
      <c r="D100" s="92"/>
      <c r="E100" s="8" t="s">
        <v>4</v>
      </c>
      <c r="F100" s="110" t="s">
        <v>5</v>
      </c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2"/>
    </row>
    <row r="101" spans="2:18" ht="15" x14ac:dyDescent="0.2">
      <c r="B101" s="4" t="s">
        <v>3</v>
      </c>
      <c r="C101" s="90"/>
      <c r="D101" s="93"/>
      <c r="E101" s="9" t="s">
        <v>6</v>
      </c>
      <c r="F101" s="9">
        <v>5.4</v>
      </c>
      <c r="G101" s="9">
        <v>8.4</v>
      </c>
      <c r="H101" s="10">
        <v>11.8</v>
      </c>
      <c r="I101" s="9">
        <v>15.2</v>
      </c>
      <c r="J101" s="9">
        <v>17.399999999999999</v>
      </c>
      <c r="K101" s="10">
        <v>24.8</v>
      </c>
      <c r="L101" s="9">
        <v>35.200000000000003</v>
      </c>
      <c r="M101" s="9">
        <v>45</v>
      </c>
      <c r="N101" s="10">
        <v>54.8</v>
      </c>
      <c r="O101" s="9">
        <v>65.599999999999994</v>
      </c>
      <c r="P101" s="9">
        <v>75.8</v>
      </c>
      <c r="Q101" s="10">
        <v>85.6</v>
      </c>
    </row>
    <row r="102" spans="2:18" ht="15" x14ac:dyDescent="0.2">
      <c r="B102" s="5">
        <v>41833</v>
      </c>
      <c r="C102" s="90"/>
      <c r="D102" s="93"/>
      <c r="E102" s="9" t="s">
        <v>7</v>
      </c>
      <c r="F102" s="9">
        <v>-4.2</v>
      </c>
      <c r="G102" s="9">
        <v>-6</v>
      </c>
      <c r="H102" s="10">
        <v>-8.6</v>
      </c>
      <c r="I102" s="9">
        <v>-11.6</v>
      </c>
      <c r="J102" s="9">
        <v>-15.2</v>
      </c>
      <c r="K102" s="10">
        <v>-33.200000000000003</v>
      </c>
      <c r="L102" s="9">
        <v>-71.2</v>
      </c>
      <c r="M102" s="9">
        <v>-112</v>
      </c>
      <c r="N102" s="10">
        <v>-154.4</v>
      </c>
      <c r="O102" s="9">
        <v>-199</v>
      </c>
      <c r="P102" s="9">
        <v>-244.8</v>
      </c>
      <c r="Q102" s="10">
        <v>-290.8</v>
      </c>
    </row>
    <row r="103" spans="2:18" ht="15" x14ac:dyDescent="0.2">
      <c r="B103" s="6"/>
      <c r="C103" s="90"/>
      <c r="D103" s="93"/>
      <c r="E103" s="11" t="s">
        <v>8</v>
      </c>
      <c r="F103" s="12">
        <v>-4.2</v>
      </c>
      <c r="G103" s="12">
        <v>-3</v>
      </c>
      <c r="H103" s="12">
        <v>-2.9</v>
      </c>
      <c r="I103" s="12">
        <v>-2.9</v>
      </c>
      <c r="J103" s="12">
        <v>-3</v>
      </c>
      <c r="K103" s="12">
        <v>-3.3</v>
      </c>
      <c r="L103" s="12">
        <v>-3.6</v>
      </c>
      <c r="M103" s="12">
        <v>-3.7</v>
      </c>
      <c r="N103" s="12">
        <v>-3.9</v>
      </c>
      <c r="O103" s="12">
        <v>-4</v>
      </c>
      <c r="P103" s="12">
        <v>-4.0999999999999996</v>
      </c>
      <c r="Q103" s="12">
        <v>-4.2</v>
      </c>
    </row>
    <row r="104" spans="2:18" ht="15" x14ac:dyDescent="0.2">
      <c r="B104" s="6"/>
      <c r="C104" s="90"/>
      <c r="D104" s="93"/>
      <c r="E104" s="8" t="s">
        <v>9</v>
      </c>
      <c r="F104" s="8">
        <v>0.68</v>
      </c>
      <c r="G104" s="8">
        <v>0.48</v>
      </c>
      <c r="H104" s="13">
        <v>0.47</v>
      </c>
      <c r="I104" s="8">
        <v>0.47</v>
      </c>
      <c r="J104" s="8">
        <v>0.48</v>
      </c>
      <c r="K104" s="13">
        <v>0.53</v>
      </c>
      <c r="L104" s="8">
        <v>0.57999999999999996</v>
      </c>
      <c r="M104" s="8">
        <v>0.6</v>
      </c>
      <c r="N104" s="13">
        <v>0.63</v>
      </c>
      <c r="O104" s="8">
        <v>0.65</v>
      </c>
      <c r="P104" s="8">
        <v>0.66</v>
      </c>
      <c r="Q104" s="13">
        <v>0.68</v>
      </c>
    </row>
    <row r="105" spans="2:18" ht="15" x14ac:dyDescent="0.2">
      <c r="B105" s="7"/>
      <c r="C105" s="91"/>
      <c r="D105" s="94"/>
      <c r="E105" s="14" t="s">
        <v>10</v>
      </c>
      <c r="F105" s="14">
        <v>0.8</v>
      </c>
      <c r="G105" s="14">
        <v>0.7</v>
      </c>
      <c r="H105" s="15">
        <v>0.7</v>
      </c>
      <c r="I105" s="14">
        <v>0.8</v>
      </c>
      <c r="J105" s="14">
        <v>0.9</v>
      </c>
      <c r="K105" s="15">
        <v>1.3</v>
      </c>
      <c r="L105" s="14">
        <v>2</v>
      </c>
      <c r="M105" s="14">
        <v>2.5</v>
      </c>
      <c r="N105" s="15">
        <v>2.8</v>
      </c>
      <c r="O105" s="14">
        <v>3</v>
      </c>
      <c r="P105" s="14">
        <v>3.2</v>
      </c>
      <c r="Q105" s="15">
        <v>3.4</v>
      </c>
      <c r="R105" s="39">
        <f>(Q102/Q101)*-1</f>
        <v>3.3971962616822435</v>
      </c>
    </row>
    <row r="106" spans="2:18" x14ac:dyDescent="0.2">
      <c r="B106" s="95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7"/>
    </row>
    <row r="107" spans="2:18" x14ac:dyDescent="0.2">
      <c r="B107" s="98"/>
      <c r="C107" s="99"/>
      <c r="D107" s="99"/>
      <c r="E107" s="99"/>
      <c r="F107" s="99"/>
      <c r="G107" s="99"/>
      <c r="H107" s="99"/>
      <c r="I107" s="99"/>
      <c r="J107" s="99"/>
      <c r="K107" s="99"/>
      <c r="L107" s="99"/>
      <c r="M107" s="99"/>
      <c r="N107" s="99"/>
      <c r="O107" s="99"/>
      <c r="P107" s="99"/>
      <c r="Q107" s="100"/>
    </row>
    <row r="108" spans="2:18" ht="15" customHeight="1" x14ac:dyDescent="0.2">
      <c r="B108" s="3">
        <v>1745</v>
      </c>
      <c r="C108" s="89"/>
      <c r="D108" s="92"/>
      <c r="E108" s="8" t="s">
        <v>4</v>
      </c>
      <c r="F108" s="110" t="s">
        <v>5</v>
      </c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2"/>
    </row>
    <row r="109" spans="2:18" ht="15" x14ac:dyDescent="0.2">
      <c r="B109" s="4" t="s">
        <v>3</v>
      </c>
      <c r="C109" s="90"/>
      <c r="D109" s="93"/>
      <c r="E109" s="9" t="s">
        <v>6</v>
      </c>
      <c r="F109" s="9">
        <v>6.4</v>
      </c>
      <c r="G109" s="9">
        <v>9</v>
      </c>
      <c r="H109" s="10">
        <v>12</v>
      </c>
      <c r="I109" s="9">
        <v>15.6</v>
      </c>
      <c r="J109" s="9">
        <v>19.2</v>
      </c>
      <c r="K109" s="10">
        <v>28</v>
      </c>
      <c r="L109" s="9">
        <v>38.799999999999997</v>
      </c>
      <c r="M109" s="9">
        <v>49</v>
      </c>
      <c r="N109" s="10">
        <v>59.4</v>
      </c>
      <c r="O109" s="9">
        <v>70.400000000000006</v>
      </c>
      <c r="P109" s="9">
        <v>81.2</v>
      </c>
      <c r="Q109" s="10">
        <v>91.2</v>
      </c>
    </row>
    <row r="110" spans="2:18" ht="15" x14ac:dyDescent="0.2">
      <c r="B110" s="5">
        <v>41833</v>
      </c>
      <c r="C110" s="90"/>
      <c r="D110" s="93"/>
      <c r="E110" s="9" t="s">
        <v>7</v>
      </c>
      <c r="F110" s="9">
        <v>-4.8</v>
      </c>
      <c r="G110" s="9">
        <v>-7</v>
      </c>
      <c r="H110" s="10">
        <v>-9.6</v>
      </c>
      <c r="I110" s="9">
        <v>-13</v>
      </c>
      <c r="J110" s="9">
        <v>-16.600000000000001</v>
      </c>
      <c r="K110" s="10">
        <v>-35.200000000000003</v>
      </c>
      <c r="L110" s="9">
        <v>-76.2</v>
      </c>
      <c r="M110" s="9">
        <v>-119</v>
      </c>
      <c r="N110" s="10">
        <v>-162.6</v>
      </c>
      <c r="O110" s="9">
        <v>-211.2</v>
      </c>
      <c r="P110" s="9">
        <v>-258.60000000000002</v>
      </c>
      <c r="Q110" s="10">
        <v>-306.8</v>
      </c>
    </row>
    <row r="111" spans="2:18" ht="15" x14ac:dyDescent="0.2">
      <c r="B111" s="6"/>
      <c r="C111" s="90"/>
      <c r="D111" s="93"/>
      <c r="E111" s="11" t="s">
        <v>8</v>
      </c>
      <c r="F111" s="12">
        <v>-4.8</v>
      </c>
      <c r="G111" s="12">
        <v>-3.5</v>
      </c>
      <c r="H111" s="12">
        <v>-3.2</v>
      </c>
      <c r="I111" s="12">
        <v>-3.3</v>
      </c>
      <c r="J111" s="12">
        <v>-3.3</v>
      </c>
      <c r="K111" s="12">
        <v>-3.5</v>
      </c>
      <c r="L111" s="12">
        <v>-3.8</v>
      </c>
      <c r="M111" s="12">
        <v>-4</v>
      </c>
      <c r="N111" s="12">
        <v>-4.0999999999999996</v>
      </c>
      <c r="O111" s="12">
        <v>-4.2</v>
      </c>
      <c r="P111" s="12">
        <v>-4.3</v>
      </c>
      <c r="Q111" s="12">
        <v>-4.4000000000000004</v>
      </c>
    </row>
    <row r="112" spans="2:18" ht="15" x14ac:dyDescent="0.2">
      <c r="B112" s="6"/>
      <c r="C112" s="90"/>
      <c r="D112" s="93"/>
      <c r="E112" s="8" t="s">
        <v>9</v>
      </c>
      <c r="F112" s="8">
        <v>0.78</v>
      </c>
      <c r="G112" s="8">
        <v>0.56999999999999995</v>
      </c>
      <c r="H112" s="13">
        <v>0.52</v>
      </c>
      <c r="I112" s="8">
        <v>0.53</v>
      </c>
      <c r="J112" s="8">
        <v>0.53</v>
      </c>
      <c r="K112" s="13">
        <v>0.56999999999999995</v>
      </c>
      <c r="L112" s="8">
        <v>0.61</v>
      </c>
      <c r="M112" s="8">
        <v>0.65</v>
      </c>
      <c r="N112" s="13">
        <v>0.66</v>
      </c>
      <c r="O112" s="8">
        <v>0.68</v>
      </c>
      <c r="P112" s="8">
        <v>0.69</v>
      </c>
      <c r="Q112" s="13">
        <v>0.71</v>
      </c>
    </row>
    <row r="113" spans="2:18" ht="15" x14ac:dyDescent="0.2">
      <c r="B113" s="7"/>
      <c r="C113" s="91"/>
      <c r="D113" s="94"/>
      <c r="E113" s="14" t="s">
        <v>10</v>
      </c>
      <c r="F113" s="14">
        <v>0.8</v>
      </c>
      <c r="G113" s="14">
        <v>0.8</v>
      </c>
      <c r="H113" s="15">
        <v>0.8</v>
      </c>
      <c r="I113" s="14">
        <v>0.8</v>
      </c>
      <c r="J113" s="14">
        <v>0.9</v>
      </c>
      <c r="K113" s="15">
        <v>1.3</v>
      </c>
      <c r="L113" s="14">
        <v>2</v>
      </c>
      <c r="M113" s="14">
        <v>2.4</v>
      </c>
      <c r="N113" s="15">
        <v>2.7</v>
      </c>
      <c r="O113" s="14">
        <v>3</v>
      </c>
      <c r="P113" s="14">
        <v>3.2</v>
      </c>
      <c r="Q113" s="15">
        <v>3.4</v>
      </c>
      <c r="R113" s="39">
        <f>(Q110/Q109)*-1</f>
        <v>3.3640350877192984</v>
      </c>
    </row>
    <row r="114" spans="2:18" x14ac:dyDescent="0.2">
      <c r="B114" s="95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7"/>
    </row>
    <row r="115" spans="2:18" x14ac:dyDescent="0.2">
      <c r="B115" s="98"/>
      <c r="C115" s="99"/>
      <c r="D115" s="99"/>
      <c r="E115" s="99"/>
      <c r="F115" s="99"/>
      <c r="G115" s="99"/>
      <c r="H115" s="99"/>
      <c r="I115" s="99"/>
      <c r="J115" s="99"/>
      <c r="K115" s="99"/>
      <c r="L115" s="99"/>
      <c r="M115" s="99"/>
      <c r="N115" s="99"/>
      <c r="O115" s="99"/>
      <c r="P115" s="99"/>
      <c r="Q115" s="100"/>
    </row>
    <row r="116" spans="2:18" ht="15" customHeight="1" x14ac:dyDescent="0.2">
      <c r="B116" s="3">
        <v>1746</v>
      </c>
      <c r="C116" s="89"/>
      <c r="D116" s="92"/>
      <c r="E116" s="8" t="s">
        <v>4</v>
      </c>
      <c r="F116" s="110" t="s">
        <v>5</v>
      </c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2"/>
    </row>
    <row r="117" spans="2:18" ht="15" x14ac:dyDescent="0.2">
      <c r="B117" s="4" t="s">
        <v>3</v>
      </c>
      <c r="C117" s="90"/>
      <c r="D117" s="93"/>
      <c r="E117" s="9" t="s">
        <v>6</v>
      </c>
      <c r="F117" s="9">
        <v>6.2</v>
      </c>
      <c r="G117" s="9">
        <v>8.6</v>
      </c>
      <c r="H117" s="10">
        <v>11.6</v>
      </c>
      <c r="I117" s="9">
        <v>14.2</v>
      </c>
      <c r="J117" s="9">
        <v>16</v>
      </c>
      <c r="K117" s="10">
        <v>21.4</v>
      </c>
      <c r="L117" s="9">
        <v>30.8</v>
      </c>
      <c r="M117" s="9">
        <v>40</v>
      </c>
      <c r="N117" s="10">
        <v>49.6</v>
      </c>
      <c r="O117" s="9">
        <v>60.2</v>
      </c>
      <c r="P117" s="9">
        <v>70.599999999999994</v>
      </c>
      <c r="Q117" s="10">
        <v>81</v>
      </c>
    </row>
    <row r="118" spans="2:18" ht="15" x14ac:dyDescent="0.2">
      <c r="B118" s="5">
        <v>41833</v>
      </c>
      <c r="C118" s="90"/>
      <c r="D118" s="93"/>
      <c r="E118" s="9" t="s">
        <v>7</v>
      </c>
      <c r="F118" s="9">
        <v>-5.2</v>
      </c>
      <c r="G118" s="9">
        <v>-7.6</v>
      </c>
      <c r="H118" s="10">
        <v>-10.6</v>
      </c>
      <c r="I118" s="9">
        <v>-13.8</v>
      </c>
      <c r="J118" s="9">
        <v>-17.399999999999999</v>
      </c>
      <c r="K118" s="10">
        <v>-37</v>
      </c>
      <c r="L118" s="9">
        <v>-77</v>
      </c>
      <c r="M118" s="9">
        <v>-119.8</v>
      </c>
      <c r="N118" s="10">
        <v>-162.80000000000001</v>
      </c>
      <c r="O118" s="9">
        <v>-209.4</v>
      </c>
      <c r="P118" s="9">
        <v>-257.8</v>
      </c>
      <c r="Q118" s="10">
        <v>-305.2</v>
      </c>
    </row>
    <row r="119" spans="2:18" ht="15" x14ac:dyDescent="0.2">
      <c r="B119" s="6"/>
      <c r="C119" s="90"/>
      <c r="D119" s="93"/>
      <c r="E119" s="11" t="s">
        <v>8</v>
      </c>
      <c r="F119" s="12">
        <v>-5.2</v>
      </c>
      <c r="G119" s="12">
        <v>-3.8</v>
      </c>
      <c r="H119" s="12">
        <v>-3.5</v>
      </c>
      <c r="I119" s="12">
        <v>-3.5</v>
      </c>
      <c r="J119" s="12">
        <v>-3.5</v>
      </c>
      <c r="K119" s="12">
        <v>-3.7</v>
      </c>
      <c r="L119" s="12">
        <v>-3.9</v>
      </c>
      <c r="M119" s="12">
        <v>-4</v>
      </c>
      <c r="N119" s="12">
        <v>-4.0999999999999996</v>
      </c>
      <c r="O119" s="12">
        <v>-4.2</v>
      </c>
      <c r="P119" s="12">
        <v>-4.3</v>
      </c>
      <c r="Q119" s="12">
        <v>-4.4000000000000004</v>
      </c>
    </row>
    <row r="120" spans="2:18" ht="15" x14ac:dyDescent="0.2">
      <c r="B120" s="6"/>
      <c r="C120" s="90"/>
      <c r="D120" s="93"/>
      <c r="E120" s="8" t="s">
        <v>9</v>
      </c>
      <c r="F120" s="8">
        <v>0.84</v>
      </c>
      <c r="G120" s="8">
        <v>0.61</v>
      </c>
      <c r="H120" s="13">
        <v>0.56999999999999995</v>
      </c>
      <c r="I120" s="8">
        <v>0.56999999999999995</v>
      </c>
      <c r="J120" s="8">
        <v>0.56999999999999995</v>
      </c>
      <c r="K120" s="13">
        <v>0.6</v>
      </c>
      <c r="L120" s="8">
        <v>0.63</v>
      </c>
      <c r="M120" s="8">
        <v>0.65</v>
      </c>
      <c r="N120" s="13">
        <v>0.66</v>
      </c>
      <c r="O120" s="8">
        <v>0.68</v>
      </c>
      <c r="P120" s="8">
        <v>0.69</v>
      </c>
      <c r="Q120" s="13">
        <v>0.71</v>
      </c>
    </row>
    <row r="121" spans="2:18" ht="15" x14ac:dyDescent="0.2">
      <c r="B121" s="7"/>
      <c r="C121" s="91"/>
      <c r="D121" s="94"/>
      <c r="E121" s="14" t="s">
        <v>10</v>
      </c>
      <c r="F121" s="14">
        <v>0.8</v>
      </c>
      <c r="G121" s="14">
        <v>0.9</v>
      </c>
      <c r="H121" s="15">
        <v>0.9</v>
      </c>
      <c r="I121" s="14">
        <v>1</v>
      </c>
      <c r="J121" s="14">
        <v>1.1000000000000001</v>
      </c>
      <c r="K121" s="15">
        <v>1.7</v>
      </c>
      <c r="L121" s="14">
        <v>2.5</v>
      </c>
      <c r="M121" s="14">
        <v>3</v>
      </c>
      <c r="N121" s="15">
        <v>3.3</v>
      </c>
      <c r="O121" s="14">
        <v>3.5</v>
      </c>
      <c r="P121" s="14">
        <v>3.7</v>
      </c>
      <c r="Q121" s="15">
        <v>3.8</v>
      </c>
      <c r="R121" s="39">
        <f>(Q118/Q117)*-1</f>
        <v>3.7679012345679013</v>
      </c>
    </row>
    <row r="122" spans="2:18" x14ac:dyDescent="0.2">
      <c r="B122" s="95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7"/>
    </row>
    <row r="123" spans="2:18" x14ac:dyDescent="0.2">
      <c r="B123" s="98"/>
      <c r="C123" s="99"/>
      <c r="D123" s="99"/>
      <c r="E123" s="99"/>
      <c r="F123" s="99"/>
      <c r="G123" s="99"/>
      <c r="H123" s="99"/>
      <c r="I123" s="99"/>
      <c r="J123" s="99"/>
      <c r="K123" s="99"/>
      <c r="L123" s="99"/>
      <c r="M123" s="99"/>
      <c r="N123" s="99"/>
      <c r="O123" s="99"/>
      <c r="P123" s="99"/>
      <c r="Q123" s="100"/>
    </row>
    <row r="124" spans="2:18" ht="15" customHeight="1" x14ac:dyDescent="0.2">
      <c r="B124" s="3">
        <v>1747</v>
      </c>
      <c r="C124" s="89"/>
      <c r="D124" s="92"/>
      <c r="E124" s="8" t="s">
        <v>4</v>
      </c>
      <c r="F124" s="110" t="s">
        <v>5</v>
      </c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2"/>
    </row>
    <row r="125" spans="2:18" ht="15" x14ac:dyDescent="0.2">
      <c r="B125" s="4" t="s">
        <v>3</v>
      </c>
      <c r="C125" s="90"/>
      <c r="D125" s="93"/>
      <c r="E125" s="9" t="s">
        <v>6</v>
      </c>
      <c r="F125" s="9">
        <v>6</v>
      </c>
      <c r="G125" s="9">
        <v>8.1999999999999993</v>
      </c>
      <c r="H125" s="10">
        <v>11.2</v>
      </c>
      <c r="I125" s="9">
        <v>14.8</v>
      </c>
      <c r="J125" s="9">
        <v>18.2</v>
      </c>
      <c r="K125" s="10">
        <v>27.4</v>
      </c>
      <c r="L125" s="9">
        <v>38.6</v>
      </c>
      <c r="M125" s="9">
        <v>48.6</v>
      </c>
      <c r="N125" s="10">
        <v>58.6</v>
      </c>
      <c r="O125" s="9">
        <v>69.8</v>
      </c>
      <c r="P125" s="9">
        <v>80.8</v>
      </c>
      <c r="Q125" s="10">
        <v>91.2</v>
      </c>
    </row>
    <row r="126" spans="2:18" ht="15" x14ac:dyDescent="0.2">
      <c r="B126" s="5">
        <v>41833</v>
      </c>
      <c r="C126" s="90"/>
      <c r="D126" s="93"/>
      <c r="E126" s="9" t="s">
        <v>7</v>
      </c>
      <c r="F126" s="9">
        <v>-4.8</v>
      </c>
      <c r="G126" s="9">
        <v>-7</v>
      </c>
      <c r="H126" s="10">
        <v>-10.199999999999999</v>
      </c>
      <c r="I126" s="9">
        <v>-13</v>
      </c>
      <c r="J126" s="9">
        <v>-17</v>
      </c>
      <c r="K126" s="10">
        <v>-35.799999999999997</v>
      </c>
      <c r="L126" s="9">
        <v>-76.2</v>
      </c>
      <c r="M126" s="9">
        <v>-118.4</v>
      </c>
      <c r="N126" s="10">
        <v>-161.80000000000001</v>
      </c>
      <c r="O126" s="9">
        <v>-209.6</v>
      </c>
      <c r="P126" s="9">
        <v>-257.39999999999998</v>
      </c>
      <c r="Q126" s="10">
        <v>-305</v>
      </c>
    </row>
    <row r="127" spans="2:18" ht="15" x14ac:dyDescent="0.2">
      <c r="B127" s="6"/>
      <c r="C127" s="90"/>
      <c r="D127" s="93"/>
      <c r="E127" s="11" t="s">
        <v>8</v>
      </c>
      <c r="F127" s="12">
        <v>-4.8</v>
      </c>
      <c r="G127" s="12">
        <v>-3.5</v>
      </c>
      <c r="H127" s="12">
        <v>-3.4</v>
      </c>
      <c r="I127" s="12">
        <v>-3.3</v>
      </c>
      <c r="J127" s="12">
        <v>-3.4</v>
      </c>
      <c r="K127" s="12">
        <v>-3.6</v>
      </c>
      <c r="L127" s="12">
        <v>-3.8</v>
      </c>
      <c r="M127" s="12">
        <v>-3.9</v>
      </c>
      <c r="N127" s="12">
        <v>-4</v>
      </c>
      <c r="O127" s="12">
        <v>-4.2</v>
      </c>
      <c r="P127" s="12">
        <v>-4.3</v>
      </c>
      <c r="Q127" s="12">
        <v>-4.4000000000000004</v>
      </c>
    </row>
    <row r="128" spans="2:18" ht="15" x14ac:dyDescent="0.2">
      <c r="B128" s="6"/>
      <c r="C128" s="90"/>
      <c r="D128" s="93"/>
      <c r="E128" s="8" t="s">
        <v>9</v>
      </c>
      <c r="F128" s="8">
        <v>0.78</v>
      </c>
      <c r="G128" s="8">
        <v>0.56999999999999995</v>
      </c>
      <c r="H128" s="13">
        <v>0.55000000000000004</v>
      </c>
      <c r="I128" s="8">
        <v>0.53</v>
      </c>
      <c r="J128" s="8">
        <v>0.55000000000000004</v>
      </c>
      <c r="K128" s="13">
        <v>0.57999999999999996</v>
      </c>
      <c r="L128" s="8">
        <v>0.61</v>
      </c>
      <c r="M128" s="8">
        <v>0.63</v>
      </c>
      <c r="N128" s="13">
        <v>0.65</v>
      </c>
      <c r="O128" s="8">
        <v>0.68</v>
      </c>
      <c r="P128" s="8">
        <v>0.69</v>
      </c>
      <c r="Q128" s="13">
        <v>0.71</v>
      </c>
    </row>
    <row r="129" spans="2:18" ht="15" x14ac:dyDescent="0.2">
      <c r="B129" s="7"/>
      <c r="C129" s="91"/>
      <c r="D129" s="94"/>
      <c r="E129" s="14" t="s">
        <v>10</v>
      </c>
      <c r="F129" s="14">
        <v>0.8</v>
      </c>
      <c r="G129" s="14">
        <v>0.9</v>
      </c>
      <c r="H129" s="15">
        <v>0.9</v>
      </c>
      <c r="I129" s="14">
        <v>0.9</v>
      </c>
      <c r="J129" s="14">
        <v>0.9</v>
      </c>
      <c r="K129" s="15">
        <v>1.3</v>
      </c>
      <c r="L129" s="14">
        <v>2</v>
      </c>
      <c r="M129" s="14">
        <v>2.4</v>
      </c>
      <c r="N129" s="15">
        <v>2.8</v>
      </c>
      <c r="O129" s="14">
        <v>3</v>
      </c>
      <c r="P129" s="14">
        <v>3.2</v>
      </c>
      <c r="Q129" s="15">
        <v>3.3</v>
      </c>
      <c r="R129" s="39">
        <f>(Q126/Q125)*-1</f>
        <v>3.3442982456140351</v>
      </c>
    </row>
    <row r="130" spans="2:18" x14ac:dyDescent="0.2">
      <c r="B130" s="95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7"/>
    </row>
    <row r="131" spans="2:18" x14ac:dyDescent="0.2">
      <c r="B131" s="98"/>
      <c r="C131" s="99"/>
      <c r="D131" s="99"/>
      <c r="E131" s="99"/>
      <c r="F131" s="99"/>
      <c r="G131" s="99"/>
      <c r="H131" s="99"/>
      <c r="I131" s="99"/>
      <c r="J131" s="99"/>
      <c r="K131" s="99"/>
      <c r="L131" s="99"/>
      <c r="M131" s="99"/>
      <c r="N131" s="99"/>
      <c r="O131" s="99"/>
      <c r="P131" s="99"/>
      <c r="Q131" s="100"/>
    </row>
    <row r="132" spans="2:18" ht="15" customHeight="1" x14ac:dyDescent="0.2">
      <c r="B132" s="3">
        <v>1748</v>
      </c>
      <c r="C132" s="89"/>
      <c r="D132" s="92"/>
      <c r="E132" s="8" t="s">
        <v>4</v>
      </c>
      <c r="F132" s="110" t="s">
        <v>5</v>
      </c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  <c r="Q132" s="112"/>
    </row>
    <row r="133" spans="2:18" ht="15" x14ac:dyDescent="0.2">
      <c r="B133" s="4" t="s">
        <v>3</v>
      </c>
      <c r="C133" s="90"/>
      <c r="D133" s="93"/>
      <c r="E133" s="9" t="s">
        <v>6</v>
      </c>
      <c r="F133" s="9">
        <v>6.8</v>
      </c>
      <c r="G133" s="9">
        <v>8.6</v>
      </c>
      <c r="H133" s="10">
        <v>11</v>
      </c>
      <c r="I133" s="9">
        <v>14.2</v>
      </c>
      <c r="J133" s="9">
        <v>16.399999999999999</v>
      </c>
      <c r="K133" s="10">
        <v>22.8</v>
      </c>
      <c r="L133" s="9">
        <v>30.8</v>
      </c>
      <c r="M133" s="9">
        <v>38.6</v>
      </c>
      <c r="N133" s="10">
        <v>46.8</v>
      </c>
      <c r="O133" s="9">
        <v>55.4</v>
      </c>
      <c r="P133" s="9">
        <v>64.8</v>
      </c>
      <c r="Q133" s="10">
        <v>73.8</v>
      </c>
    </row>
    <row r="134" spans="2:18" ht="15" x14ac:dyDescent="0.2">
      <c r="B134" s="5">
        <v>41833</v>
      </c>
      <c r="C134" s="90"/>
      <c r="D134" s="93"/>
      <c r="E134" s="9" t="s">
        <v>7</v>
      </c>
      <c r="F134" s="9">
        <v>-4.8</v>
      </c>
      <c r="G134" s="9">
        <v>-7</v>
      </c>
      <c r="H134" s="10">
        <v>-10</v>
      </c>
      <c r="I134" s="9">
        <v>-13</v>
      </c>
      <c r="J134" s="9">
        <v>-17</v>
      </c>
      <c r="K134" s="10">
        <v>-37.4</v>
      </c>
      <c r="L134" s="9">
        <v>-81.400000000000006</v>
      </c>
      <c r="M134" s="9">
        <v>-125</v>
      </c>
      <c r="N134" s="10">
        <v>-170</v>
      </c>
      <c r="O134" s="9">
        <v>-218.6</v>
      </c>
      <c r="P134" s="9">
        <v>-267</v>
      </c>
      <c r="Q134" s="10">
        <v>-314.2</v>
      </c>
    </row>
    <row r="135" spans="2:18" ht="15" x14ac:dyDescent="0.2">
      <c r="B135" s="6"/>
      <c r="C135" s="90"/>
      <c r="D135" s="93"/>
      <c r="E135" s="11" t="s">
        <v>8</v>
      </c>
      <c r="F135" s="12">
        <v>-4.8</v>
      </c>
      <c r="G135" s="12">
        <v>-3.5</v>
      </c>
      <c r="H135" s="12">
        <v>-3.3</v>
      </c>
      <c r="I135" s="12">
        <v>-3.3</v>
      </c>
      <c r="J135" s="12">
        <v>-3.4</v>
      </c>
      <c r="K135" s="12">
        <v>-3.7</v>
      </c>
      <c r="L135" s="12">
        <v>-4.0999999999999996</v>
      </c>
      <c r="M135" s="12">
        <v>-4.2</v>
      </c>
      <c r="N135" s="12">
        <v>-4.3</v>
      </c>
      <c r="O135" s="12">
        <v>-4.4000000000000004</v>
      </c>
      <c r="P135" s="12">
        <v>-4.5</v>
      </c>
      <c r="Q135" s="12">
        <v>-4.5</v>
      </c>
    </row>
    <row r="136" spans="2:18" ht="15" x14ac:dyDescent="0.2">
      <c r="B136" s="6"/>
      <c r="C136" s="90"/>
      <c r="D136" s="93"/>
      <c r="E136" s="8" t="s">
        <v>9</v>
      </c>
      <c r="F136" s="8">
        <v>0.78</v>
      </c>
      <c r="G136" s="8">
        <v>0.56999999999999995</v>
      </c>
      <c r="H136" s="13">
        <v>0.53</v>
      </c>
      <c r="I136" s="8">
        <v>0.53</v>
      </c>
      <c r="J136" s="8">
        <v>0.55000000000000004</v>
      </c>
      <c r="K136" s="13">
        <v>0.6</v>
      </c>
      <c r="L136" s="8">
        <v>0.66</v>
      </c>
      <c r="M136" s="8">
        <v>0.68</v>
      </c>
      <c r="N136" s="13">
        <v>0.69</v>
      </c>
      <c r="O136" s="8">
        <v>0.71</v>
      </c>
      <c r="P136" s="8">
        <v>0.73</v>
      </c>
      <c r="Q136" s="13">
        <v>0.73</v>
      </c>
    </row>
    <row r="137" spans="2:18" ht="15" x14ac:dyDescent="0.2">
      <c r="B137" s="7"/>
      <c r="C137" s="91"/>
      <c r="D137" s="94"/>
      <c r="E137" s="14" t="s">
        <v>10</v>
      </c>
      <c r="F137" s="14">
        <v>0.7</v>
      </c>
      <c r="G137" s="14">
        <v>0.8</v>
      </c>
      <c r="H137" s="15">
        <v>0.9</v>
      </c>
      <c r="I137" s="14">
        <v>0.9</v>
      </c>
      <c r="J137" s="14">
        <v>1</v>
      </c>
      <c r="K137" s="15">
        <v>1.6</v>
      </c>
      <c r="L137" s="14">
        <v>2.6</v>
      </c>
      <c r="M137" s="14">
        <v>3.2</v>
      </c>
      <c r="N137" s="15">
        <v>3.6</v>
      </c>
      <c r="O137" s="14">
        <v>3.9</v>
      </c>
      <c r="P137" s="14">
        <v>4.0999999999999996</v>
      </c>
      <c r="Q137" s="15">
        <v>4.3</v>
      </c>
      <c r="R137" s="39">
        <f>(Q134/Q133)*-1</f>
        <v>4.257452574525745</v>
      </c>
    </row>
    <row r="138" spans="2:18" x14ac:dyDescent="0.2">
      <c r="B138" s="95"/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7"/>
    </row>
    <row r="139" spans="2:18" x14ac:dyDescent="0.2">
      <c r="B139" s="98"/>
      <c r="C139" s="99"/>
      <c r="D139" s="99"/>
      <c r="E139" s="99"/>
      <c r="F139" s="99"/>
      <c r="G139" s="99"/>
      <c r="H139" s="99"/>
      <c r="I139" s="99"/>
      <c r="J139" s="99"/>
      <c r="K139" s="99"/>
      <c r="L139" s="99"/>
      <c r="M139" s="99"/>
      <c r="N139" s="99"/>
      <c r="O139" s="99"/>
      <c r="P139" s="99"/>
      <c r="Q139" s="100"/>
    </row>
    <row r="140" spans="2:18" ht="15" customHeight="1" x14ac:dyDescent="0.2">
      <c r="B140" s="3">
        <v>1749</v>
      </c>
      <c r="C140" s="89"/>
      <c r="D140" s="92"/>
      <c r="E140" s="8" t="s">
        <v>4</v>
      </c>
      <c r="F140" s="110" t="s">
        <v>5</v>
      </c>
      <c r="G140" s="111"/>
      <c r="H140" s="111"/>
      <c r="I140" s="111"/>
      <c r="J140" s="111"/>
      <c r="K140" s="111"/>
      <c r="L140" s="111"/>
      <c r="M140" s="111"/>
      <c r="N140" s="111"/>
      <c r="O140" s="111"/>
      <c r="P140" s="111"/>
      <c r="Q140" s="112"/>
    </row>
    <row r="141" spans="2:18" ht="15" x14ac:dyDescent="0.2">
      <c r="B141" s="4" t="s">
        <v>3</v>
      </c>
      <c r="C141" s="90"/>
      <c r="D141" s="93"/>
      <c r="E141" s="9" t="s">
        <v>6</v>
      </c>
      <c r="F141" s="9">
        <v>5.4</v>
      </c>
      <c r="G141" s="9">
        <v>7</v>
      </c>
      <c r="H141" s="10">
        <v>9.4</v>
      </c>
      <c r="I141" s="9">
        <v>12</v>
      </c>
      <c r="J141" s="9">
        <v>14.6</v>
      </c>
      <c r="K141" s="10">
        <v>20</v>
      </c>
      <c r="L141" s="9">
        <v>27.8</v>
      </c>
      <c r="M141" s="9">
        <v>35.200000000000003</v>
      </c>
      <c r="N141" s="10">
        <v>43.4</v>
      </c>
      <c r="O141" s="9">
        <v>51.8</v>
      </c>
      <c r="P141" s="9">
        <v>60.4</v>
      </c>
      <c r="Q141" s="10">
        <v>69.400000000000006</v>
      </c>
    </row>
    <row r="142" spans="2:18" ht="15" x14ac:dyDescent="0.2">
      <c r="B142" s="5">
        <v>41834</v>
      </c>
      <c r="C142" s="90"/>
      <c r="D142" s="93"/>
      <c r="E142" s="9" t="s">
        <v>7</v>
      </c>
      <c r="F142" s="9">
        <v>-4.5999999999999996</v>
      </c>
      <c r="G142" s="9">
        <v>-6.8</v>
      </c>
      <c r="H142" s="10">
        <v>-9.8000000000000007</v>
      </c>
      <c r="I142" s="9">
        <v>-13</v>
      </c>
      <c r="J142" s="9">
        <v>-16.8</v>
      </c>
      <c r="K142" s="10">
        <v>-36</v>
      </c>
      <c r="L142" s="9">
        <v>-76.400000000000006</v>
      </c>
      <c r="M142" s="9">
        <v>-117.8</v>
      </c>
      <c r="N142" s="10">
        <v>-161.4</v>
      </c>
      <c r="O142" s="9">
        <v>-208.4</v>
      </c>
      <c r="P142" s="9">
        <v>-256</v>
      </c>
      <c r="Q142" s="10">
        <v>-303.60000000000002</v>
      </c>
    </row>
    <row r="143" spans="2:18" ht="15" x14ac:dyDescent="0.2">
      <c r="B143" s="6"/>
      <c r="C143" s="90"/>
      <c r="D143" s="93"/>
      <c r="E143" s="11" t="s">
        <v>8</v>
      </c>
      <c r="F143" s="12">
        <v>-4.5999999999999996</v>
      </c>
      <c r="G143" s="12">
        <v>-3.4</v>
      </c>
      <c r="H143" s="12">
        <v>-3.3</v>
      </c>
      <c r="I143" s="12">
        <v>-3.3</v>
      </c>
      <c r="J143" s="12">
        <v>-3.4</v>
      </c>
      <c r="K143" s="12">
        <v>-3.6</v>
      </c>
      <c r="L143" s="12">
        <v>-3.8</v>
      </c>
      <c r="M143" s="12">
        <v>-3.9</v>
      </c>
      <c r="N143" s="12">
        <v>-4</v>
      </c>
      <c r="O143" s="12">
        <v>-4.2</v>
      </c>
      <c r="P143" s="12">
        <v>-4.3</v>
      </c>
      <c r="Q143" s="12">
        <v>-4.3</v>
      </c>
    </row>
    <row r="144" spans="2:18" ht="15" x14ac:dyDescent="0.2">
      <c r="B144" s="6"/>
      <c r="C144" s="90"/>
      <c r="D144" s="93"/>
      <c r="E144" s="8" t="s">
        <v>9</v>
      </c>
      <c r="F144" s="8">
        <v>0.74</v>
      </c>
      <c r="G144" s="8">
        <v>0.55000000000000004</v>
      </c>
      <c r="H144" s="13">
        <v>0.53</v>
      </c>
      <c r="I144" s="8">
        <v>0.53</v>
      </c>
      <c r="J144" s="8">
        <v>0.55000000000000004</v>
      </c>
      <c r="K144" s="13">
        <v>0.57999999999999996</v>
      </c>
      <c r="L144" s="8">
        <v>0.61</v>
      </c>
      <c r="M144" s="8">
        <v>0.63</v>
      </c>
      <c r="N144" s="13">
        <v>0.65</v>
      </c>
      <c r="O144" s="8">
        <v>0.68</v>
      </c>
      <c r="P144" s="8">
        <v>0.69</v>
      </c>
      <c r="Q144" s="13">
        <v>0.69</v>
      </c>
    </row>
    <row r="145" spans="2:18" ht="15" x14ac:dyDescent="0.2">
      <c r="B145" s="7"/>
      <c r="C145" s="91"/>
      <c r="D145" s="94"/>
      <c r="E145" s="14" t="s">
        <v>10</v>
      </c>
      <c r="F145" s="14">
        <v>0.9</v>
      </c>
      <c r="G145" s="14">
        <v>1</v>
      </c>
      <c r="H145" s="15">
        <v>1</v>
      </c>
      <c r="I145" s="14">
        <v>1.1000000000000001</v>
      </c>
      <c r="J145" s="14">
        <v>1.2</v>
      </c>
      <c r="K145" s="15">
        <v>1.8</v>
      </c>
      <c r="L145" s="14">
        <v>2.7</v>
      </c>
      <c r="M145" s="14">
        <v>3.3</v>
      </c>
      <c r="N145" s="15">
        <v>3.7</v>
      </c>
      <c r="O145" s="14">
        <v>4</v>
      </c>
      <c r="P145" s="14">
        <v>4.2</v>
      </c>
      <c r="Q145" s="15">
        <v>4.4000000000000004</v>
      </c>
      <c r="R145" s="39">
        <f>(Q142/Q141)*-1</f>
        <v>4.3746397694524495</v>
      </c>
    </row>
    <row r="146" spans="2:18" x14ac:dyDescent="0.2">
      <c r="B146" s="95"/>
      <c r="C146" s="96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6"/>
      <c r="P146" s="96"/>
      <c r="Q146" s="97"/>
    </row>
    <row r="147" spans="2:18" x14ac:dyDescent="0.2">
      <c r="B147" s="98"/>
      <c r="C147" s="99"/>
      <c r="D147" s="99"/>
      <c r="E147" s="99"/>
      <c r="F147" s="99"/>
      <c r="G147" s="99"/>
      <c r="H147" s="99"/>
      <c r="I147" s="99"/>
      <c r="J147" s="99"/>
      <c r="K147" s="99"/>
      <c r="L147" s="99"/>
      <c r="M147" s="99"/>
      <c r="N147" s="99"/>
      <c r="O147" s="99"/>
      <c r="P147" s="99"/>
      <c r="Q147" s="100"/>
    </row>
    <row r="148" spans="2:18" ht="15" customHeight="1" x14ac:dyDescent="0.2">
      <c r="B148" s="3">
        <v>1750</v>
      </c>
      <c r="C148" s="89"/>
      <c r="D148" s="92"/>
      <c r="E148" s="8" t="s">
        <v>4</v>
      </c>
      <c r="F148" s="110" t="s">
        <v>5</v>
      </c>
      <c r="G148" s="111"/>
      <c r="H148" s="111"/>
      <c r="I148" s="111"/>
      <c r="J148" s="111"/>
      <c r="K148" s="111"/>
      <c r="L148" s="111"/>
      <c r="M148" s="111"/>
      <c r="N148" s="111"/>
      <c r="O148" s="111"/>
      <c r="P148" s="111"/>
      <c r="Q148" s="112"/>
    </row>
    <row r="149" spans="2:18" ht="15" x14ac:dyDescent="0.2">
      <c r="B149" s="4" t="s">
        <v>3</v>
      </c>
      <c r="C149" s="90"/>
      <c r="D149" s="93"/>
      <c r="E149" s="9" t="s">
        <v>6</v>
      </c>
      <c r="F149" s="9">
        <v>6.2</v>
      </c>
      <c r="G149" s="9">
        <v>8.1999999999999993</v>
      </c>
      <c r="H149" s="10">
        <v>11.2</v>
      </c>
      <c r="I149" s="9">
        <v>13.8</v>
      </c>
      <c r="J149" s="9">
        <v>16.600000000000001</v>
      </c>
      <c r="K149" s="10">
        <v>22.6</v>
      </c>
      <c r="L149" s="9">
        <v>31.2</v>
      </c>
      <c r="M149" s="9">
        <v>40</v>
      </c>
      <c r="N149" s="10">
        <v>49.2</v>
      </c>
      <c r="O149" s="9">
        <v>59.2</v>
      </c>
      <c r="P149" s="9">
        <v>69.2</v>
      </c>
      <c r="Q149" s="10">
        <v>79</v>
      </c>
    </row>
    <row r="150" spans="2:18" ht="15" x14ac:dyDescent="0.2">
      <c r="B150" s="5">
        <v>41834</v>
      </c>
      <c r="C150" s="90"/>
      <c r="D150" s="93"/>
      <c r="E150" s="9" t="s">
        <v>7</v>
      </c>
      <c r="F150" s="9">
        <v>-4.8</v>
      </c>
      <c r="G150" s="9">
        <v>-7</v>
      </c>
      <c r="H150" s="10">
        <v>-10</v>
      </c>
      <c r="I150" s="9">
        <v>-13.4</v>
      </c>
      <c r="J150" s="9">
        <v>-17</v>
      </c>
      <c r="K150" s="10">
        <v>-37</v>
      </c>
      <c r="L150" s="9">
        <v>-78</v>
      </c>
      <c r="M150" s="9">
        <v>-120.6</v>
      </c>
      <c r="N150" s="10">
        <v>-164.2</v>
      </c>
      <c r="O150" s="9">
        <v>-212.6</v>
      </c>
      <c r="P150" s="9">
        <v>-259.39999999999998</v>
      </c>
      <c r="Q150" s="10">
        <v>-305.60000000000002</v>
      </c>
    </row>
    <row r="151" spans="2:18" ht="15" x14ac:dyDescent="0.2">
      <c r="B151" s="6"/>
      <c r="C151" s="90"/>
      <c r="D151" s="93"/>
      <c r="E151" s="11" t="s">
        <v>8</v>
      </c>
      <c r="F151" s="12">
        <v>-4.8</v>
      </c>
      <c r="G151" s="12">
        <v>-3.5</v>
      </c>
      <c r="H151" s="12">
        <v>-3.3</v>
      </c>
      <c r="I151" s="12">
        <v>-3.4</v>
      </c>
      <c r="J151" s="12">
        <v>-3.4</v>
      </c>
      <c r="K151" s="12">
        <v>-3.7</v>
      </c>
      <c r="L151" s="12">
        <v>-3.9</v>
      </c>
      <c r="M151" s="12">
        <v>-4</v>
      </c>
      <c r="N151" s="12">
        <v>-4.0999999999999996</v>
      </c>
      <c r="O151" s="12">
        <v>-4.3</v>
      </c>
      <c r="P151" s="12">
        <v>-4.3</v>
      </c>
      <c r="Q151" s="12">
        <v>-4.4000000000000004</v>
      </c>
    </row>
    <row r="152" spans="2:18" ht="15" x14ac:dyDescent="0.2">
      <c r="B152" s="6"/>
      <c r="C152" s="90"/>
      <c r="D152" s="93"/>
      <c r="E152" s="8" t="s">
        <v>9</v>
      </c>
      <c r="F152" s="8">
        <v>0.78</v>
      </c>
      <c r="G152" s="8">
        <v>0.56999999999999995</v>
      </c>
      <c r="H152" s="13">
        <v>0.53</v>
      </c>
      <c r="I152" s="8">
        <v>0.55000000000000004</v>
      </c>
      <c r="J152" s="8">
        <v>0.55000000000000004</v>
      </c>
      <c r="K152" s="13">
        <v>0.6</v>
      </c>
      <c r="L152" s="8">
        <v>0.63</v>
      </c>
      <c r="M152" s="8">
        <v>0.65</v>
      </c>
      <c r="N152" s="13">
        <v>0.66</v>
      </c>
      <c r="O152" s="8">
        <v>0.69</v>
      </c>
      <c r="P152" s="8">
        <v>0.69</v>
      </c>
      <c r="Q152" s="13">
        <v>0.71</v>
      </c>
    </row>
    <row r="153" spans="2:18" ht="15" x14ac:dyDescent="0.2">
      <c r="B153" s="7"/>
      <c r="C153" s="91"/>
      <c r="D153" s="94"/>
      <c r="E153" s="14" t="s">
        <v>10</v>
      </c>
      <c r="F153" s="14">
        <v>0.8</v>
      </c>
      <c r="G153" s="14">
        <v>0.9</v>
      </c>
      <c r="H153" s="15">
        <v>0.9</v>
      </c>
      <c r="I153" s="14">
        <v>1</v>
      </c>
      <c r="J153" s="14">
        <v>1</v>
      </c>
      <c r="K153" s="15">
        <v>1.6</v>
      </c>
      <c r="L153" s="14">
        <v>2.5</v>
      </c>
      <c r="M153" s="14">
        <v>3</v>
      </c>
      <c r="N153" s="15">
        <v>3.3</v>
      </c>
      <c r="O153" s="14">
        <v>3.6</v>
      </c>
      <c r="P153" s="14">
        <v>3.7</v>
      </c>
      <c r="Q153" s="15">
        <v>3.9</v>
      </c>
      <c r="R153" s="39">
        <f>(Q150/Q149)*-1</f>
        <v>3.868354430379747</v>
      </c>
    </row>
    <row r="154" spans="2:18" x14ac:dyDescent="0.2">
      <c r="B154" s="95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7"/>
    </row>
    <row r="155" spans="2:18" x14ac:dyDescent="0.2">
      <c r="B155" s="98"/>
      <c r="C155" s="99"/>
      <c r="D155" s="99"/>
      <c r="E155" s="99"/>
      <c r="F155" s="99"/>
      <c r="G155" s="99"/>
      <c r="H155" s="99"/>
      <c r="I155" s="99"/>
      <c r="J155" s="99"/>
      <c r="K155" s="99"/>
      <c r="L155" s="99"/>
      <c r="M155" s="99"/>
      <c r="N155" s="99"/>
      <c r="O155" s="99"/>
      <c r="P155" s="99"/>
      <c r="Q155" s="100"/>
    </row>
    <row r="156" spans="2:18" ht="15" customHeight="1" x14ac:dyDescent="0.2">
      <c r="B156" s="29">
        <v>1751</v>
      </c>
      <c r="C156" s="101"/>
      <c r="D156" s="104"/>
      <c r="E156" s="30" t="s">
        <v>4</v>
      </c>
      <c r="F156" s="107" t="s">
        <v>5</v>
      </c>
      <c r="G156" s="108"/>
      <c r="H156" s="108"/>
      <c r="I156" s="108"/>
      <c r="J156" s="108"/>
      <c r="K156" s="108"/>
      <c r="L156" s="108"/>
      <c r="M156" s="108"/>
      <c r="N156" s="108"/>
      <c r="O156" s="108"/>
      <c r="P156" s="108"/>
      <c r="Q156" s="109"/>
    </row>
    <row r="157" spans="2:18" ht="15" x14ac:dyDescent="0.2">
      <c r="B157" s="31" t="s">
        <v>3</v>
      </c>
      <c r="C157" s="102"/>
      <c r="D157" s="105"/>
      <c r="E157" s="32" t="s">
        <v>6</v>
      </c>
      <c r="F157" s="32">
        <v>6.6</v>
      </c>
      <c r="G157" s="32">
        <v>10.199999999999999</v>
      </c>
      <c r="H157" s="32">
        <v>14.6</v>
      </c>
      <c r="I157" s="32">
        <v>18.399999999999999</v>
      </c>
      <c r="J157" s="32">
        <v>22.2</v>
      </c>
      <c r="K157" s="32">
        <v>32.6</v>
      </c>
      <c r="L157" s="32">
        <v>46.8</v>
      </c>
      <c r="M157" s="32">
        <v>59.2</v>
      </c>
      <c r="N157" s="32">
        <v>71.2</v>
      </c>
      <c r="O157" s="32">
        <v>83.4</v>
      </c>
      <c r="P157" s="32">
        <v>95.4</v>
      </c>
      <c r="Q157" s="32">
        <v>106.6</v>
      </c>
    </row>
    <row r="158" spans="2:18" ht="15" x14ac:dyDescent="0.2">
      <c r="B158" s="33">
        <v>41834</v>
      </c>
      <c r="C158" s="102"/>
      <c r="D158" s="105"/>
      <c r="E158" s="32" t="s">
        <v>7</v>
      </c>
      <c r="F158" s="32">
        <v>-4.4000000000000004</v>
      </c>
      <c r="G158" s="32">
        <v>-6.6</v>
      </c>
      <c r="H158" s="32">
        <v>-9.6</v>
      </c>
      <c r="I158" s="32">
        <v>-13.2</v>
      </c>
      <c r="J158" s="32">
        <v>-16.8</v>
      </c>
      <c r="K158" s="32">
        <v>-36.6</v>
      </c>
      <c r="L158" s="32">
        <v>-77.599999999999994</v>
      </c>
      <c r="M158" s="32">
        <v>-119.8</v>
      </c>
      <c r="N158" s="32">
        <v>-164</v>
      </c>
      <c r="O158" s="32">
        <v>-212.2</v>
      </c>
      <c r="P158" s="32">
        <v>-257.60000000000002</v>
      </c>
      <c r="Q158" s="32">
        <v>-306.8</v>
      </c>
    </row>
    <row r="159" spans="2:18" ht="15" x14ac:dyDescent="0.2">
      <c r="B159" s="34"/>
      <c r="C159" s="102"/>
      <c r="D159" s="105"/>
      <c r="E159" s="35" t="s">
        <v>8</v>
      </c>
      <c r="F159" s="36">
        <v>-4.4000000000000004</v>
      </c>
      <c r="G159" s="36">
        <v>-3.3</v>
      </c>
      <c r="H159" s="36">
        <v>-3.2</v>
      </c>
      <c r="I159" s="36">
        <v>-3.3</v>
      </c>
      <c r="J159" s="36">
        <v>-3.4</v>
      </c>
      <c r="K159" s="36">
        <v>-3.7</v>
      </c>
      <c r="L159" s="36">
        <v>-3.9</v>
      </c>
      <c r="M159" s="36">
        <v>-4</v>
      </c>
      <c r="N159" s="36">
        <v>-4.0999999999999996</v>
      </c>
      <c r="O159" s="36">
        <v>-4.2</v>
      </c>
      <c r="P159" s="36">
        <v>-4.3</v>
      </c>
      <c r="Q159" s="36">
        <v>-4.4000000000000004</v>
      </c>
    </row>
    <row r="160" spans="2:18" ht="15" x14ac:dyDescent="0.2">
      <c r="B160" s="34"/>
      <c r="C160" s="102"/>
      <c r="D160" s="105"/>
      <c r="E160" s="30" t="s">
        <v>9</v>
      </c>
      <c r="F160" s="30">
        <v>0.71</v>
      </c>
      <c r="G160" s="30">
        <v>0.53</v>
      </c>
      <c r="H160" s="30">
        <v>0.52</v>
      </c>
      <c r="I160" s="30">
        <v>0.53</v>
      </c>
      <c r="J160" s="30">
        <v>0.55000000000000004</v>
      </c>
      <c r="K160" s="30">
        <v>0.6</v>
      </c>
      <c r="L160" s="30">
        <v>0.63</v>
      </c>
      <c r="M160" s="30">
        <v>0.65</v>
      </c>
      <c r="N160" s="30">
        <v>0.66</v>
      </c>
      <c r="O160" s="30">
        <v>0.68</v>
      </c>
      <c r="P160" s="30">
        <v>0.69</v>
      </c>
      <c r="Q160" s="30">
        <v>0.71</v>
      </c>
    </row>
    <row r="161" spans="2:18" ht="15" x14ac:dyDescent="0.2">
      <c r="B161" s="37"/>
      <c r="C161" s="103"/>
      <c r="D161" s="106"/>
      <c r="E161" s="38" t="s">
        <v>10</v>
      </c>
      <c r="F161" s="38">
        <v>0.7</v>
      </c>
      <c r="G161" s="38">
        <v>0.6</v>
      </c>
      <c r="H161" s="38">
        <v>0.7</v>
      </c>
      <c r="I161" s="38">
        <v>0.7</v>
      </c>
      <c r="J161" s="38">
        <v>0.8</v>
      </c>
      <c r="K161" s="38">
        <v>1.1000000000000001</v>
      </c>
      <c r="L161" s="38">
        <v>1.7</v>
      </c>
      <c r="M161" s="38">
        <v>2</v>
      </c>
      <c r="N161" s="38">
        <v>2.2999999999999998</v>
      </c>
      <c r="O161" s="38">
        <v>2.5</v>
      </c>
      <c r="P161" s="38">
        <v>2.7</v>
      </c>
      <c r="Q161" s="38">
        <v>2.9</v>
      </c>
      <c r="R161" s="39">
        <f>(Q158/Q157)*-1</f>
        <v>2.8780487804878052</v>
      </c>
    </row>
    <row r="162" spans="2:18" x14ac:dyDescent="0.2">
      <c r="B162" s="95"/>
      <c r="C162" s="96"/>
      <c r="D162" s="96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7"/>
    </row>
    <row r="163" spans="2:18" x14ac:dyDescent="0.2">
      <c r="B163" s="98"/>
      <c r="C163" s="99"/>
      <c r="D163" s="99"/>
      <c r="E163" s="99"/>
      <c r="F163" s="99"/>
      <c r="G163" s="99"/>
      <c r="H163" s="99"/>
      <c r="I163" s="99"/>
      <c r="J163" s="99"/>
      <c r="K163" s="99"/>
      <c r="L163" s="99"/>
      <c r="M163" s="99"/>
      <c r="N163" s="99"/>
      <c r="O163" s="99"/>
      <c r="P163" s="99"/>
      <c r="Q163" s="100"/>
    </row>
    <row r="164" spans="2:18" ht="15" customHeight="1" x14ac:dyDescent="0.2">
      <c r="B164" s="29">
        <v>1752</v>
      </c>
      <c r="C164" s="101"/>
      <c r="D164" s="104"/>
      <c r="E164" s="30" t="s">
        <v>4</v>
      </c>
      <c r="F164" s="107" t="s">
        <v>5</v>
      </c>
      <c r="G164" s="108"/>
      <c r="H164" s="108"/>
      <c r="I164" s="108"/>
      <c r="J164" s="108"/>
      <c r="K164" s="108"/>
      <c r="L164" s="108"/>
      <c r="M164" s="108"/>
      <c r="N164" s="108"/>
      <c r="O164" s="108"/>
      <c r="P164" s="108"/>
      <c r="Q164" s="109"/>
    </row>
    <row r="165" spans="2:18" ht="15" x14ac:dyDescent="0.2">
      <c r="B165" s="31" t="s">
        <v>3</v>
      </c>
      <c r="C165" s="102"/>
      <c r="D165" s="105"/>
      <c r="E165" s="32" t="s">
        <v>6</v>
      </c>
      <c r="F165" s="32">
        <v>6.2</v>
      </c>
      <c r="G165" s="32">
        <v>9.6</v>
      </c>
      <c r="H165" s="32">
        <v>14</v>
      </c>
      <c r="I165" s="32">
        <v>18.2</v>
      </c>
      <c r="J165" s="32">
        <v>21.2</v>
      </c>
      <c r="K165" s="32">
        <v>30</v>
      </c>
      <c r="L165" s="32">
        <v>42.6</v>
      </c>
      <c r="M165" s="32">
        <v>53.8</v>
      </c>
      <c r="N165" s="32">
        <v>65.400000000000006</v>
      </c>
      <c r="O165" s="32">
        <v>77</v>
      </c>
      <c r="P165" s="32">
        <v>86.8</v>
      </c>
      <c r="Q165" s="32">
        <v>96.8</v>
      </c>
    </row>
    <row r="166" spans="2:18" ht="15" x14ac:dyDescent="0.2">
      <c r="B166" s="33">
        <v>41834</v>
      </c>
      <c r="C166" s="102"/>
      <c r="D166" s="105"/>
      <c r="E166" s="32" t="s">
        <v>7</v>
      </c>
      <c r="F166" s="32">
        <v>-4.5999999999999996</v>
      </c>
      <c r="G166" s="32">
        <v>-6.8</v>
      </c>
      <c r="H166" s="32">
        <v>-9.6</v>
      </c>
      <c r="I166" s="32">
        <v>-12.8</v>
      </c>
      <c r="J166" s="32">
        <v>-16.2</v>
      </c>
      <c r="K166" s="32">
        <v>-34.200000000000003</v>
      </c>
      <c r="L166" s="32">
        <v>-72.8</v>
      </c>
      <c r="M166" s="32">
        <v>-112.8</v>
      </c>
      <c r="N166" s="32">
        <v>-155.4</v>
      </c>
      <c r="O166" s="32">
        <v>-201</v>
      </c>
      <c r="P166" s="32">
        <v>-248</v>
      </c>
      <c r="Q166" s="32">
        <v>-294.8</v>
      </c>
    </row>
    <row r="167" spans="2:18" ht="15" x14ac:dyDescent="0.2">
      <c r="B167" s="34"/>
      <c r="C167" s="102"/>
      <c r="D167" s="105"/>
      <c r="E167" s="35" t="s">
        <v>8</v>
      </c>
      <c r="F167" s="36">
        <v>-4.5999999999999996</v>
      </c>
      <c r="G167" s="36">
        <v>-3.4</v>
      </c>
      <c r="H167" s="36">
        <v>-3.2</v>
      </c>
      <c r="I167" s="36">
        <v>-3.2</v>
      </c>
      <c r="J167" s="36">
        <v>-3.2</v>
      </c>
      <c r="K167" s="36">
        <v>-3.4</v>
      </c>
      <c r="L167" s="36">
        <v>-3.6</v>
      </c>
      <c r="M167" s="36">
        <v>-3.8</v>
      </c>
      <c r="N167" s="36">
        <v>-3.9</v>
      </c>
      <c r="O167" s="36">
        <v>-4</v>
      </c>
      <c r="P167" s="36">
        <v>-4.0999999999999996</v>
      </c>
      <c r="Q167" s="36">
        <v>-4.2</v>
      </c>
    </row>
    <row r="168" spans="2:18" ht="15" x14ac:dyDescent="0.2">
      <c r="B168" s="34"/>
      <c r="C168" s="102"/>
      <c r="D168" s="105"/>
      <c r="E168" s="30" t="s">
        <v>9</v>
      </c>
      <c r="F168" s="30">
        <v>0.74</v>
      </c>
      <c r="G168" s="30">
        <v>0.55000000000000004</v>
      </c>
      <c r="H168" s="30">
        <v>0.52</v>
      </c>
      <c r="I168" s="30">
        <v>0.52</v>
      </c>
      <c r="J168" s="30">
        <v>0.52</v>
      </c>
      <c r="K168" s="30">
        <v>0.55000000000000004</v>
      </c>
      <c r="L168" s="30">
        <v>0.57999999999999996</v>
      </c>
      <c r="M168" s="30">
        <v>0.61</v>
      </c>
      <c r="N168" s="30">
        <v>0.63</v>
      </c>
      <c r="O168" s="30">
        <v>0.65</v>
      </c>
      <c r="P168" s="30">
        <v>0.66</v>
      </c>
      <c r="Q168" s="30">
        <v>0.68</v>
      </c>
    </row>
    <row r="169" spans="2:18" ht="15" x14ac:dyDescent="0.2">
      <c r="B169" s="37"/>
      <c r="C169" s="103"/>
      <c r="D169" s="106"/>
      <c r="E169" s="38" t="s">
        <v>10</v>
      </c>
      <c r="F169" s="38">
        <v>0.7</v>
      </c>
      <c r="G169" s="38">
        <v>0.7</v>
      </c>
      <c r="H169" s="38">
        <v>0.7</v>
      </c>
      <c r="I169" s="38">
        <v>0.7</v>
      </c>
      <c r="J169" s="38">
        <v>0.8</v>
      </c>
      <c r="K169" s="38">
        <v>1.1000000000000001</v>
      </c>
      <c r="L169" s="38">
        <v>1.7</v>
      </c>
      <c r="M169" s="38">
        <v>2.1</v>
      </c>
      <c r="N169" s="38">
        <v>2.4</v>
      </c>
      <c r="O169" s="38">
        <v>2.6</v>
      </c>
      <c r="P169" s="38">
        <v>2.9</v>
      </c>
      <c r="Q169" s="38">
        <v>3</v>
      </c>
      <c r="R169" s="39">
        <f>(Q166/Q165)*-1</f>
        <v>3.0454545454545459</v>
      </c>
    </row>
    <row r="170" spans="2:18" x14ac:dyDescent="0.2">
      <c r="B170" s="95"/>
      <c r="C170" s="96"/>
      <c r="D170" s="96"/>
      <c r="E170" s="96"/>
      <c r="F170" s="96"/>
      <c r="G170" s="96"/>
      <c r="H170" s="96"/>
      <c r="I170" s="96"/>
      <c r="J170" s="96"/>
      <c r="K170" s="96"/>
      <c r="L170" s="96"/>
      <c r="M170" s="96"/>
      <c r="N170" s="96"/>
      <c r="O170" s="96"/>
      <c r="P170" s="96"/>
      <c r="Q170" s="97"/>
    </row>
    <row r="171" spans="2:18" x14ac:dyDescent="0.2">
      <c r="B171" s="98"/>
      <c r="C171" s="99"/>
      <c r="D171" s="99"/>
      <c r="E171" s="99"/>
      <c r="F171" s="99"/>
      <c r="G171" s="99"/>
      <c r="H171" s="99"/>
      <c r="I171" s="99"/>
      <c r="J171" s="99"/>
      <c r="K171" s="99"/>
      <c r="L171" s="99"/>
      <c r="M171" s="99"/>
      <c r="N171" s="99"/>
      <c r="O171" s="99"/>
      <c r="P171" s="99"/>
      <c r="Q171" s="100"/>
    </row>
    <row r="172" spans="2:18" ht="15" customHeight="1" x14ac:dyDescent="0.2">
      <c r="B172" s="3">
        <v>2052</v>
      </c>
      <c r="C172" s="89"/>
      <c r="D172" s="92"/>
      <c r="E172" s="8" t="s">
        <v>4</v>
      </c>
      <c r="F172" s="110" t="s">
        <v>5</v>
      </c>
      <c r="G172" s="111"/>
      <c r="H172" s="111"/>
      <c r="I172" s="111"/>
      <c r="J172" s="111"/>
      <c r="K172" s="111"/>
      <c r="L172" s="111"/>
      <c r="M172" s="111"/>
      <c r="N172" s="111"/>
      <c r="O172" s="111"/>
      <c r="P172" s="111"/>
      <c r="Q172" s="112"/>
    </row>
    <row r="173" spans="2:18" ht="15" x14ac:dyDescent="0.2">
      <c r="B173" s="4" t="s">
        <v>3</v>
      </c>
      <c r="C173" s="90"/>
      <c r="D173" s="93"/>
      <c r="E173" s="9" t="s">
        <v>6</v>
      </c>
      <c r="F173" s="9">
        <v>6</v>
      </c>
      <c r="G173" s="9">
        <v>7.8</v>
      </c>
      <c r="H173" s="10">
        <v>9.8000000000000007</v>
      </c>
      <c r="I173" s="9">
        <v>11.8</v>
      </c>
      <c r="J173" s="9">
        <v>14</v>
      </c>
      <c r="K173" s="10">
        <v>21.2</v>
      </c>
      <c r="L173" s="9">
        <v>30</v>
      </c>
      <c r="M173" s="9">
        <v>38.4</v>
      </c>
      <c r="N173" s="10">
        <v>47.8</v>
      </c>
      <c r="O173" s="9">
        <v>58</v>
      </c>
      <c r="P173" s="9">
        <v>68.8</v>
      </c>
      <c r="Q173" s="10">
        <v>80.2</v>
      </c>
    </row>
    <row r="174" spans="2:18" ht="15" x14ac:dyDescent="0.2">
      <c r="B174" s="5">
        <v>42256</v>
      </c>
      <c r="C174" s="90"/>
      <c r="D174" s="93"/>
      <c r="E174" s="9" t="s">
        <v>7</v>
      </c>
      <c r="F174" s="9">
        <v>-5.4</v>
      </c>
      <c r="G174" s="9">
        <v>-7</v>
      </c>
      <c r="H174" s="10">
        <v>-9.6</v>
      </c>
      <c r="I174" s="9">
        <v>-12.2</v>
      </c>
      <c r="J174" s="9">
        <v>-15.4</v>
      </c>
      <c r="K174" s="10">
        <v>-33.200000000000003</v>
      </c>
      <c r="L174" s="9">
        <v>-68.2</v>
      </c>
      <c r="M174" s="9">
        <v>-102.4</v>
      </c>
      <c r="N174" s="10">
        <v>-137.19999999999999</v>
      </c>
      <c r="O174" s="9">
        <v>-173.8</v>
      </c>
      <c r="P174" s="9">
        <v>-209.4</v>
      </c>
      <c r="Q174" s="10">
        <v>-245.8</v>
      </c>
    </row>
    <row r="175" spans="2:18" ht="15" x14ac:dyDescent="0.2">
      <c r="B175" s="6"/>
      <c r="C175" s="90"/>
      <c r="D175" s="93"/>
      <c r="E175" s="11" t="s">
        <v>8</v>
      </c>
      <c r="F175" s="12">
        <v>-5.4</v>
      </c>
      <c r="G175" s="12">
        <v>-3.5</v>
      </c>
      <c r="H175" s="12">
        <v>-3.2</v>
      </c>
      <c r="I175" s="12">
        <v>-3.1</v>
      </c>
      <c r="J175" s="12">
        <v>-3.1</v>
      </c>
      <c r="K175" s="12">
        <v>-3.3</v>
      </c>
      <c r="L175" s="12">
        <v>-3.4</v>
      </c>
      <c r="M175" s="12">
        <v>-3.4</v>
      </c>
      <c r="N175" s="12">
        <v>-3.4</v>
      </c>
      <c r="O175" s="12">
        <v>-3.5</v>
      </c>
      <c r="P175" s="12">
        <v>-3.5</v>
      </c>
      <c r="Q175" s="12">
        <v>-3.5</v>
      </c>
    </row>
    <row r="176" spans="2:18" ht="15" x14ac:dyDescent="0.2">
      <c r="B176" s="6"/>
      <c r="C176" s="90"/>
      <c r="D176" s="93"/>
      <c r="E176" s="8" t="s">
        <v>9</v>
      </c>
      <c r="F176" s="8">
        <v>0.87</v>
      </c>
      <c r="G176" s="8">
        <v>0.56999999999999995</v>
      </c>
      <c r="H176" s="13">
        <v>0.52</v>
      </c>
      <c r="I176" s="8">
        <v>0.5</v>
      </c>
      <c r="J176" s="8">
        <v>0.5</v>
      </c>
      <c r="K176" s="13">
        <v>0.53</v>
      </c>
      <c r="L176" s="8">
        <v>0.55000000000000004</v>
      </c>
      <c r="M176" s="8">
        <v>0.55000000000000004</v>
      </c>
      <c r="N176" s="13">
        <v>0.55000000000000004</v>
      </c>
      <c r="O176" s="8">
        <v>0.56999999999999995</v>
      </c>
      <c r="P176" s="8">
        <v>0.56999999999999995</v>
      </c>
      <c r="Q176" s="13">
        <v>0.56999999999999995</v>
      </c>
    </row>
    <row r="177" spans="2:18" ht="15" x14ac:dyDescent="0.2">
      <c r="B177" s="7"/>
      <c r="C177" s="91"/>
      <c r="D177" s="94"/>
      <c r="E177" s="14" t="s">
        <v>10</v>
      </c>
      <c r="F177" s="14">
        <v>0.9</v>
      </c>
      <c r="G177" s="14">
        <v>0.9</v>
      </c>
      <c r="H177" s="15">
        <v>1</v>
      </c>
      <c r="I177" s="14">
        <v>1</v>
      </c>
      <c r="J177" s="14">
        <v>1.1000000000000001</v>
      </c>
      <c r="K177" s="15">
        <v>1.6</v>
      </c>
      <c r="L177" s="14">
        <v>2.2999999999999998</v>
      </c>
      <c r="M177" s="14">
        <v>2.7</v>
      </c>
      <c r="N177" s="15">
        <v>2.9</v>
      </c>
      <c r="O177" s="14">
        <v>3</v>
      </c>
      <c r="P177" s="14">
        <v>3</v>
      </c>
      <c r="Q177" s="15">
        <v>3.1</v>
      </c>
      <c r="R177" s="39">
        <f>(Q174/Q173)*-1</f>
        <v>3.0648379052369079</v>
      </c>
    </row>
    <row r="178" spans="2:18" x14ac:dyDescent="0.2">
      <c r="B178" s="95"/>
      <c r="C178" s="96"/>
      <c r="D178" s="96"/>
      <c r="E178" s="96"/>
      <c r="F178" s="96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7"/>
    </row>
    <row r="179" spans="2:18" x14ac:dyDescent="0.2">
      <c r="B179" s="98"/>
      <c r="C179" s="99"/>
      <c r="D179" s="99"/>
      <c r="E179" s="99"/>
      <c r="F179" s="99"/>
      <c r="G179" s="99"/>
      <c r="H179" s="99"/>
      <c r="I179" s="99"/>
      <c r="J179" s="99"/>
      <c r="K179" s="99"/>
      <c r="L179" s="99"/>
      <c r="M179" s="99"/>
      <c r="N179" s="99"/>
      <c r="O179" s="99"/>
      <c r="P179" s="99"/>
      <c r="Q179" s="100"/>
    </row>
    <row r="180" spans="2:18" ht="15" customHeight="1" x14ac:dyDescent="0.2">
      <c r="B180" s="3">
        <v>2136</v>
      </c>
      <c r="C180" s="89"/>
      <c r="D180" s="92"/>
      <c r="E180" s="8" t="s">
        <v>4</v>
      </c>
      <c r="F180" s="110" t="s">
        <v>5</v>
      </c>
      <c r="G180" s="111"/>
      <c r="H180" s="111"/>
      <c r="I180" s="111"/>
      <c r="J180" s="111"/>
      <c r="K180" s="111"/>
      <c r="L180" s="111"/>
      <c r="M180" s="111"/>
      <c r="N180" s="111"/>
      <c r="O180" s="111"/>
      <c r="P180" s="111"/>
      <c r="Q180" s="112"/>
    </row>
    <row r="181" spans="2:18" ht="15" x14ac:dyDescent="0.2">
      <c r="B181" s="4" t="s">
        <v>3</v>
      </c>
      <c r="C181" s="90"/>
      <c r="D181" s="93"/>
      <c r="E181" s="9" t="s">
        <v>6</v>
      </c>
      <c r="F181" s="9">
        <v>4.4000000000000004</v>
      </c>
      <c r="G181" s="9">
        <v>6.6</v>
      </c>
      <c r="H181" s="10">
        <v>9.1999999999999993</v>
      </c>
      <c r="I181" s="9">
        <v>11</v>
      </c>
      <c r="J181" s="9">
        <v>11.8</v>
      </c>
      <c r="K181" s="10">
        <v>15</v>
      </c>
      <c r="L181" s="9">
        <v>20.6</v>
      </c>
      <c r="M181" s="9">
        <v>26.4</v>
      </c>
      <c r="N181" s="10">
        <v>32.799999999999997</v>
      </c>
      <c r="O181" s="9">
        <v>40.200000000000003</v>
      </c>
      <c r="P181" s="9">
        <v>48</v>
      </c>
      <c r="Q181" s="10">
        <v>56.4</v>
      </c>
    </row>
    <row r="182" spans="2:18" ht="15" x14ac:dyDescent="0.2">
      <c r="B182" s="5">
        <v>42319</v>
      </c>
      <c r="C182" s="90"/>
      <c r="D182" s="93"/>
      <c r="E182" s="9" t="s">
        <v>7</v>
      </c>
      <c r="F182" s="9">
        <v>-4.2</v>
      </c>
      <c r="G182" s="9">
        <v>-6.6</v>
      </c>
      <c r="H182" s="10">
        <v>-9.6</v>
      </c>
      <c r="I182" s="9">
        <v>-12.4</v>
      </c>
      <c r="J182" s="9">
        <v>-16.399999999999999</v>
      </c>
      <c r="K182" s="10">
        <v>-36.200000000000003</v>
      </c>
      <c r="L182" s="9">
        <v>-71</v>
      </c>
      <c r="M182" s="9">
        <v>-105.6</v>
      </c>
      <c r="N182" s="10">
        <v>-140.80000000000001</v>
      </c>
      <c r="O182" s="9">
        <v>-177</v>
      </c>
      <c r="P182" s="9">
        <v>-214</v>
      </c>
      <c r="Q182" s="10">
        <v>-250.2</v>
      </c>
    </row>
    <row r="183" spans="2:18" ht="15" x14ac:dyDescent="0.2">
      <c r="B183" s="6"/>
      <c r="C183" s="90"/>
      <c r="D183" s="93"/>
      <c r="E183" s="11" t="s">
        <v>8</v>
      </c>
      <c r="F183" s="12">
        <v>-4.2</v>
      </c>
      <c r="G183" s="12">
        <v>-3.3</v>
      </c>
      <c r="H183" s="12">
        <v>-3.2</v>
      </c>
      <c r="I183" s="12">
        <v>-3.1</v>
      </c>
      <c r="J183" s="12">
        <v>-3.3</v>
      </c>
      <c r="K183" s="12">
        <v>-3.6</v>
      </c>
      <c r="L183" s="12">
        <v>-3.6</v>
      </c>
      <c r="M183" s="12">
        <v>-3.5</v>
      </c>
      <c r="N183" s="12">
        <v>-3.5</v>
      </c>
      <c r="O183" s="12">
        <v>-3.5</v>
      </c>
      <c r="P183" s="12">
        <v>-3.6</v>
      </c>
      <c r="Q183" s="12">
        <v>-3.6</v>
      </c>
    </row>
    <row r="184" spans="2:18" ht="15" x14ac:dyDescent="0.2">
      <c r="B184" s="6"/>
      <c r="C184" s="90"/>
      <c r="D184" s="93"/>
      <c r="E184" s="8" t="s">
        <v>9</v>
      </c>
      <c r="F184" s="8">
        <v>0.68</v>
      </c>
      <c r="G184" s="8">
        <v>0.53</v>
      </c>
      <c r="H184" s="13">
        <v>0.52</v>
      </c>
      <c r="I184" s="8">
        <v>0.5</v>
      </c>
      <c r="J184" s="8">
        <v>0.53</v>
      </c>
      <c r="K184" s="13">
        <v>0.57999999999999996</v>
      </c>
      <c r="L184" s="8">
        <v>0.57999999999999996</v>
      </c>
      <c r="M184" s="8">
        <v>0.56999999999999995</v>
      </c>
      <c r="N184" s="13">
        <v>0.56999999999999995</v>
      </c>
      <c r="O184" s="8">
        <v>0.56999999999999995</v>
      </c>
      <c r="P184" s="8">
        <v>0.57999999999999996</v>
      </c>
      <c r="Q184" s="13">
        <v>0.57999999999999996</v>
      </c>
    </row>
    <row r="185" spans="2:18" ht="15" x14ac:dyDescent="0.2">
      <c r="B185" s="7"/>
      <c r="C185" s="91"/>
      <c r="D185" s="94"/>
      <c r="E185" s="14" t="s">
        <v>10</v>
      </c>
      <c r="F185" s="14">
        <v>1</v>
      </c>
      <c r="G185" s="14">
        <v>1</v>
      </c>
      <c r="H185" s="15">
        <v>1</v>
      </c>
      <c r="I185" s="14">
        <v>1.1000000000000001</v>
      </c>
      <c r="J185" s="14">
        <v>1.4</v>
      </c>
      <c r="K185" s="15">
        <v>2.4</v>
      </c>
      <c r="L185" s="14">
        <v>3.4</v>
      </c>
      <c r="M185" s="14">
        <v>4</v>
      </c>
      <c r="N185" s="15">
        <v>4.3</v>
      </c>
      <c r="O185" s="14">
        <v>4.4000000000000004</v>
      </c>
      <c r="P185" s="14">
        <v>4.5</v>
      </c>
      <c r="Q185" s="15">
        <v>4.4000000000000004</v>
      </c>
      <c r="R185" s="39">
        <f>(Q182/Q181)*-1</f>
        <v>4.4361702127659575</v>
      </c>
    </row>
    <row r="186" spans="2:18" x14ac:dyDescent="0.2">
      <c r="B186" s="95"/>
      <c r="C186" s="96"/>
      <c r="D186" s="96"/>
      <c r="E186" s="96"/>
      <c r="F186" s="96"/>
      <c r="G186" s="96"/>
      <c r="H186" s="96"/>
      <c r="I186" s="96"/>
      <c r="J186" s="96"/>
      <c r="K186" s="96"/>
      <c r="L186" s="96"/>
      <c r="M186" s="96"/>
      <c r="N186" s="96"/>
      <c r="O186" s="96"/>
      <c r="P186" s="96"/>
      <c r="Q186" s="97"/>
    </row>
    <row r="187" spans="2:18" x14ac:dyDescent="0.2">
      <c r="B187" s="98"/>
      <c r="C187" s="99"/>
      <c r="D187" s="99"/>
      <c r="E187" s="99"/>
      <c r="F187" s="99"/>
      <c r="G187" s="99"/>
      <c r="H187" s="99"/>
      <c r="I187" s="99"/>
      <c r="J187" s="99"/>
      <c r="K187" s="99"/>
      <c r="L187" s="99"/>
      <c r="M187" s="99"/>
      <c r="N187" s="99"/>
      <c r="O187" s="99"/>
      <c r="P187" s="99"/>
      <c r="Q187" s="100"/>
    </row>
    <row r="188" spans="2:18" ht="15" customHeight="1" x14ac:dyDescent="0.2">
      <c r="B188" s="3">
        <v>2137</v>
      </c>
      <c r="C188" s="89"/>
      <c r="D188" s="92"/>
      <c r="E188" s="8" t="s">
        <v>4</v>
      </c>
      <c r="F188" s="110" t="s">
        <v>5</v>
      </c>
      <c r="G188" s="111"/>
      <c r="H188" s="111"/>
      <c r="I188" s="111"/>
      <c r="J188" s="111"/>
      <c r="K188" s="111"/>
      <c r="L188" s="111"/>
      <c r="M188" s="111"/>
      <c r="N188" s="111"/>
      <c r="O188" s="111"/>
      <c r="P188" s="111"/>
      <c r="Q188" s="112"/>
    </row>
    <row r="189" spans="2:18" ht="15" x14ac:dyDescent="0.2">
      <c r="B189" s="4" t="s">
        <v>3</v>
      </c>
      <c r="C189" s="90"/>
      <c r="D189" s="93"/>
      <c r="E189" s="9" t="s">
        <v>6</v>
      </c>
      <c r="F189" s="9">
        <v>5.4</v>
      </c>
      <c r="G189" s="9">
        <v>7.6</v>
      </c>
      <c r="H189" s="10">
        <v>10.4</v>
      </c>
      <c r="I189" s="9">
        <v>12.2</v>
      </c>
      <c r="J189" s="9">
        <v>13.8</v>
      </c>
      <c r="K189" s="10">
        <v>17.600000000000001</v>
      </c>
      <c r="L189" s="9">
        <v>24</v>
      </c>
      <c r="M189" s="9">
        <v>30.6</v>
      </c>
      <c r="N189" s="10">
        <v>38</v>
      </c>
      <c r="O189" s="9">
        <v>47</v>
      </c>
      <c r="P189" s="9">
        <v>55.6</v>
      </c>
      <c r="Q189" s="10">
        <v>64.8</v>
      </c>
    </row>
    <row r="190" spans="2:18" ht="15" x14ac:dyDescent="0.2">
      <c r="B190" s="5">
        <v>42320</v>
      </c>
      <c r="C190" s="90"/>
      <c r="D190" s="93"/>
      <c r="E190" s="9" t="s">
        <v>7</v>
      </c>
      <c r="F190" s="9">
        <v>-4.4000000000000004</v>
      </c>
      <c r="G190" s="9">
        <v>-6.8</v>
      </c>
      <c r="H190" s="10">
        <v>-9.8000000000000007</v>
      </c>
      <c r="I190" s="9">
        <v>-13.4</v>
      </c>
      <c r="J190" s="9">
        <v>-17</v>
      </c>
      <c r="K190" s="10">
        <v>-38</v>
      </c>
      <c r="L190" s="9">
        <v>-75.400000000000006</v>
      </c>
      <c r="M190" s="9">
        <v>-111.8</v>
      </c>
      <c r="N190" s="10">
        <v>-147.4</v>
      </c>
      <c r="O190" s="9">
        <v>-186.4</v>
      </c>
      <c r="P190" s="9">
        <v>-223.4</v>
      </c>
      <c r="Q190" s="10">
        <v>-260.2</v>
      </c>
    </row>
    <row r="191" spans="2:18" ht="15" x14ac:dyDescent="0.2">
      <c r="B191" s="6"/>
      <c r="C191" s="90"/>
      <c r="D191" s="93"/>
      <c r="E191" s="11" t="s">
        <v>8</v>
      </c>
      <c r="F191" s="12">
        <v>-4.4000000000000004</v>
      </c>
      <c r="G191" s="12">
        <v>-3.4</v>
      </c>
      <c r="H191" s="12">
        <v>-3.3</v>
      </c>
      <c r="I191" s="12">
        <v>-3.4</v>
      </c>
      <c r="J191" s="12">
        <v>-3.4</v>
      </c>
      <c r="K191" s="12">
        <v>-3.8</v>
      </c>
      <c r="L191" s="12">
        <v>-3.8</v>
      </c>
      <c r="M191" s="12">
        <v>-3.7</v>
      </c>
      <c r="N191" s="12">
        <v>-3.7</v>
      </c>
      <c r="O191" s="12">
        <v>-3.7</v>
      </c>
      <c r="P191" s="12">
        <v>-3.7</v>
      </c>
      <c r="Q191" s="12">
        <v>-3.7</v>
      </c>
    </row>
    <row r="192" spans="2:18" ht="15" x14ac:dyDescent="0.2">
      <c r="B192" s="6"/>
      <c r="C192" s="90"/>
      <c r="D192" s="93"/>
      <c r="E192" s="8" t="s">
        <v>9</v>
      </c>
      <c r="F192" s="8">
        <v>0.71</v>
      </c>
      <c r="G192" s="8">
        <v>0.55000000000000004</v>
      </c>
      <c r="H192" s="13">
        <v>0.53</v>
      </c>
      <c r="I192" s="8">
        <v>0.55000000000000004</v>
      </c>
      <c r="J192" s="8">
        <v>0.55000000000000004</v>
      </c>
      <c r="K192" s="13">
        <v>0.61</v>
      </c>
      <c r="L192" s="8">
        <v>0.61</v>
      </c>
      <c r="M192" s="8">
        <v>0.6</v>
      </c>
      <c r="N192" s="13">
        <v>0.6</v>
      </c>
      <c r="O192" s="8">
        <v>0.6</v>
      </c>
      <c r="P192" s="8">
        <v>0.6</v>
      </c>
      <c r="Q192" s="13">
        <v>0.6</v>
      </c>
    </row>
    <row r="193" spans="2:18" ht="15" x14ac:dyDescent="0.2">
      <c r="B193" s="7"/>
      <c r="C193" s="91"/>
      <c r="D193" s="94"/>
      <c r="E193" s="14" t="s">
        <v>10</v>
      </c>
      <c r="F193" s="14">
        <v>0.8</v>
      </c>
      <c r="G193" s="14">
        <v>0.9</v>
      </c>
      <c r="H193" s="15">
        <v>0.9</v>
      </c>
      <c r="I193" s="14">
        <v>1.1000000000000001</v>
      </c>
      <c r="J193" s="14">
        <v>1.2</v>
      </c>
      <c r="K193" s="15">
        <v>2.2000000000000002</v>
      </c>
      <c r="L193" s="14">
        <v>3.1</v>
      </c>
      <c r="M193" s="14">
        <v>3.7</v>
      </c>
      <c r="N193" s="15">
        <v>3.9</v>
      </c>
      <c r="O193" s="14">
        <v>4</v>
      </c>
      <c r="P193" s="14">
        <v>4</v>
      </c>
      <c r="Q193" s="15">
        <v>4</v>
      </c>
      <c r="R193" s="39">
        <f>(Q190/Q189)*-1</f>
        <v>4.0154320987654319</v>
      </c>
    </row>
    <row r="194" spans="2:18" x14ac:dyDescent="0.2">
      <c r="B194" s="95"/>
      <c r="C194" s="96"/>
      <c r="D194" s="96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7"/>
    </row>
    <row r="195" spans="2:18" x14ac:dyDescent="0.2">
      <c r="B195" s="98"/>
      <c r="C195" s="99"/>
      <c r="D195" s="99"/>
      <c r="E195" s="99"/>
      <c r="F195" s="99"/>
      <c r="G195" s="99"/>
      <c r="H195" s="99"/>
      <c r="I195" s="99"/>
      <c r="J195" s="99"/>
      <c r="K195" s="99"/>
      <c r="L195" s="99"/>
      <c r="M195" s="99"/>
      <c r="N195" s="99"/>
      <c r="O195" s="99"/>
      <c r="P195" s="99"/>
      <c r="Q195" s="100"/>
    </row>
    <row r="196" spans="2:18" ht="15" customHeight="1" x14ac:dyDescent="0.2">
      <c r="B196" s="3">
        <v>2138</v>
      </c>
      <c r="C196" s="89"/>
      <c r="D196" s="92"/>
      <c r="E196" s="8" t="s">
        <v>4</v>
      </c>
      <c r="F196" s="110" t="s">
        <v>5</v>
      </c>
      <c r="G196" s="111"/>
      <c r="H196" s="111"/>
      <c r="I196" s="111"/>
      <c r="J196" s="111"/>
      <c r="K196" s="111"/>
      <c r="L196" s="111"/>
      <c r="M196" s="111"/>
      <c r="N196" s="111"/>
      <c r="O196" s="111"/>
      <c r="P196" s="111"/>
      <c r="Q196" s="112"/>
    </row>
    <row r="197" spans="2:18" ht="15" x14ac:dyDescent="0.2">
      <c r="B197" s="4" t="s">
        <v>3</v>
      </c>
      <c r="C197" s="90"/>
      <c r="D197" s="93"/>
      <c r="E197" s="9" t="s">
        <v>6</v>
      </c>
      <c r="F197" s="9">
        <v>4.8</v>
      </c>
      <c r="G197" s="9">
        <v>6.8</v>
      </c>
      <c r="H197" s="10">
        <v>9.8000000000000007</v>
      </c>
      <c r="I197" s="9">
        <v>12.8</v>
      </c>
      <c r="J197" s="9">
        <v>14.8</v>
      </c>
      <c r="K197" s="10">
        <v>19.8</v>
      </c>
      <c r="L197" s="9">
        <v>27.4</v>
      </c>
      <c r="M197" s="9">
        <v>34.799999999999997</v>
      </c>
      <c r="N197" s="10">
        <v>43.2</v>
      </c>
      <c r="O197" s="9">
        <v>52.4</v>
      </c>
      <c r="P197" s="9">
        <v>62.2</v>
      </c>
      <c r="Q197" s="10">
        <v>72.400000000000006</v>
      </c>
    </row>
    <row r="198" spans="2:18" ht="15" x14ac:dyDescent="0.2">
      <c r="B198" s="5">
        <v>42320</v>
      </c>
      <c r="C198" s="90"/>
      <c r="D198" s="93"/>
      <c r="E198" s="9" t="s">
        <v>7</v>
      </c>
      <c r="F198" s="9">
        <v>-4</v>
      </c>
      <c r="G198" s="9">
        <v>-6.4</v>
      </c>
      <c r="H198" s="10">
        <v>-9.4</v>
      </c>
      <c r="I198" s="9">
        <v>-12.4</v>
      </c>
      <c r="J198" s="9">
        <v>-16.2</v>
      </c>
      <c r="K198" s="10">
        <v>-36.200000000000003</v>
      </c>
      <c r="L198" s="9">
        <v>-72</v>
      </c>
      <c r="M198" s="9">
        <v>-107</v>
      </c>
      <c r="N198" s="10">
        <v>-142.6</v>
      </c>
      <c r="O198" s="9">
        <v>-180.2</v>
      </c>
      <c r="P198" s="9">
        <v>-217.2</v>
      </c>
      <c r="Q198" s="10">
        <v>-254.4</v>
      </c>
    </row>
    <row r="199" spans="2:18" ht="15" x14ac:dyDescent="0.2">
      <c r="B199" s="6"/>
      <c r="C199" s="90"/>
      <c r="D199" s="93"/>
      <c r="E199" s="11" t="s">
        <v>8</v>
      </c>
      <c r="F199" s="12">
        <v>-4</v>
      </c>
      <c r="G199" s="12">
        <v>-3.2</v>
      </c>
      <c r="H199" s="12">
        <v>-3.1</v>
      </c>
      <c r="I199" s="12">
        <v>-3.1</v>
      </c>
      <c r="J199" s="12">
        <v>-3.2</v>
      </c>
      <c r="K199" s="12">
        <v>-3.6</v>
      </c>
      <c r="L199" s="12">
        <v>-3.6</v>
      </c>
      <c r="M199" s="12">
        <v>-3.6</v>
      </c>
      <c r="N199" s="12">
        <v>-3.6</v>
      </c>
      <c r="O199" s="12">
        <v>-3.6</v>
      </c>
      <c r="P199" s="12">
        <v>-3.6</v>
      </c>
      <c r="Q199" s="12">
        <v>-3.6</v>
      </c>
    </row>
    <row r="200" spans="2:18" ht="15" x14ac:dyDescent="0.2">
      <c r="B200" s="6"/>
      <c r="C200" s="90"/>
      <c r="D200" s="93"/>
      <c r="E200" s="8" t="s">
        <v>9</v>
      </c>
      <c r="F200" s="8">
        <v>0.65</v>
      </c>
      <c r="G200" s="8">
        <v>0.52</v>
      </c>
      <c r="H200" s="13">
        <v>0.5</v>
      </c>
      <c r="I200" s="8">
        <v>0.5</v>
      </c>
      <c r="J200" s="8">
        <v>0.52</v>
      </c>
      <c r="K200" s="13">
        <v>0.57999999999999996</v>
      </c>
      <c r="L200" s="8">
        <v>0.57999999999999996</v>
      </c>
      <c r="M200" s="8">
        <v>0.57999999999999996</v>
      </c>
      <c r="N200" s="13">
        <v>0.57999999999999996</v>
      </c>
      <c r="O200" s="8">
        <v>0.57999999999999996</v>
      </c>
      <c r="P200" s="8">
        <v>0.57999999999999996</v>
      </c>
      <c r="Q200" s="13">
        <v>0.57999999999999996</v>
      </c>
    </row>
    <row r="201" spans="2:18" ht="15" x14ac:dyDescent="0.2">
      <c r="B201" s="7"/>
      <c r="C201" s="91"/>
      <c r="D201" s="94"/>
      <c r="E201" s="14" t="s">
        <v>10</v>
      </c>
      <c r="F201" s="14">
        <v>0.8</v>
      </c>
      <c r="G201" s="14">
        <v>0.9</v>
      </c>
      <c r="H201" s="15">
        <v>1</v>
      </c>
      <c r="I201" s="14">
        <v>1</v>
      </c>
      <c r="J201" s="14">
        <v>1.1000000000000001</v>
      </c>
      <c r="K201" s="15">
        <v>1.8</v>
      </c>
      <c r="L201" s="14">
        <v>2.6</v>
      </c>
      <c r="M201" s="14">
        <v>3.1</v>
      </c>
      <c r="N201" s="15">
        <v>3.3</v>
      </c>
      <c r="O201" s="14">
        <v>3.4</v>
      </c>
      <c r="P201" s="14">
        <v>3.5</v>
      </c>
      <c r="Q201" s="15">
        <v>3.5</v>
      </c>
      <c r="R201" s="39">
        <f>(Q198/Q197)*-1</f>
        <v>3.5138121546961325</v>
      </c>
    </row>
    <row r="202" spans="2:18" x14ac:dyDescent="0.2">
      <c r="B202" s="95"/>
      <c r="C202" s="96"/>
      <c r="D202" s="96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7"/>
    </row>
    <row r="203" spans="2:18" x14ac:dyDescent="0.2">
      <c r="B203" s="98"/>
      <c r="C203" s="99"/>
      <c r="D203" s="99"/>
      <c r="E203" s="99"/>
      <c r="F203" s="99"/>
      <c r="G203" s="99"/>
      <c r="H203" s="99"/>
      <c r="I203" s="99"/>
      <c r="J203" s="99"/>
      <c r="K203" s="99"/>
      <c r="L203" s="99"/>
      <c r="M203" s="99"/>
      <c r="N203" s="99"/>
      <c r="O203" s="99"/>
      <c r="P203" s="99"/>
      <c r="Q203" s="100"/>
    </row>
    <row r="204" spans="2:18" ht="15" customHeight="1" x14ac:dyDescent="0.2">
      <c r="B204" s="3">
        <v>2139</v>
      </c>
      <c r="C204" s="89"/>
      <c r="D204" s="92"/>
      <c r="E204" s="8" t="s">
        <v>4</v>
      </c>
      <c r="F204" s="110" t="s">
        <v>5</v>
      </c>
      <c r="G204" s="111"/>
      <c r="H204" s="111"/>
      <c r="I204" s="111"/>
      <c r="J204" s="111"/>
      <c r="K204" s="111"/>
      <c r="L204" s="111"/>
      <c r="M204" s="111"/>
      <c r="N204" s="111"/>
      <c r="O204" s="111"/>
      <c r="P204" s="111"/>
      <c r="Q204" s="112"/>
    </row>
    <row r="205" spans="2:18" ht="15" x14ac:dyDescent="0.2">
      <c r="B205" s="4" t="s">
        <v>3</v>
      </c>
      <c r="C205" s="90"/>
      <c r="D205" s="93"/>
      <c r="E205" s="9" t="s">
        <v>6</v>
      </c>
      <c r="F205" s="9">
        <v>4.5999999999999996</v>
      </c>
      <c r="G205" s="9">
        <v>6.6</v>
      </c>
      <c r="H205" s="10">
        <v>9.6</v>
      </c>
      <c r="I205" s="9">
        <v>12.6</v>
      </c>
      <c r="J205" s="9">
        <v>15</v>
      </c>
      <c r="K205" s="10">
        <v>21.2</v>
      </c>
      <c r="L205" s="9">
        <v>30.4</v>
      </c>
      <c r="M205" s="9">
        <v>39.200000000000003</v>
      </c>
      <c r="N205" s="10">
        <v>49</v>
      </c>
      <c r="O205" s="9">
        <v>59.6</v>
      </c>
      <c r="P205" s="9">
        <v>71.2</v>
      </c>
      <c r="Q205" s="10">
        <v>82.2</v>
      </c>
    </row>
    <row r="206" spans="2:18" ht="15" x14ac:dyDescent="0.2">
      <c r="B206" s="5">
        <v>42321</v>
      </c>
      <c r="C206" s="90"/>
      <c r="D206" s="93"/>
      <c r="E206" s="9" t="s">
        <v>7</v>
      </c>
      <c r="F206" s="9">
        <v>-4.2</v>
      </c>
      <c r="G206" s="9">
        <v>-6.4</v>
      </c>
      <c r="H206" s="10">
        <v>-9.4</v>
      </c>
      <c r="I206" s="9">
        <v>-12.4</v>
      </c>
      <c r="J206" s="9">
        <v>-16.2</v>
      </c>
      <c r="K206" s="10">
        <v>-35.200000000000003</v>
      </c>
      <c r="L206" s="9">
        <v>-71.400000000000006</v>
      </c>
      <c r="M206" s="9">
        <v>-106.8</v>
      </c>
      <c r="N206" s="10">
        <v>-142.6</v>
      </c>
      <c r="O206" s="9">
        <v>-179.4</v>
      </c>
      <c r="P206" s="9">
        <v>-217.4</v>
      </c>
      <c r="Q206" s="10">
        <v>-254.8</v>
      </c>
    </row>
    <row r="207" spans="2:18" ht="15" x14ac:dyDescent="0.2">
      <c r="B207" s="6"/>
      <c r="C207" s="90"/>
      <c r="D207" s="93"/>
      <c r="E207" s="11" t="s">
        <v>8</v>
      </c>
      <c r="F207" s="12">
        <v>-4.2</v>
      </c>
      <c r="G207" s="12">
        <v>-3.2</v>
      </c>
      <c r="H207" s="12">
        <v>-3.1</v>
      </c>
      <c r="I207" s="12">
        <v>-3.1</v>
      </c>
      <c r="J207" s="12">
        <v>-3.2</v>
      </c>
      <c r="K207" s="12">
        <v>-3.5</v>
      </c>
      <c r="L207" s="12">
        <v>-3.6</v>
      </c>
      <c r="M207" s="12">
        <v>-3.6</v>
      </c>
      <c r="N207" s="12">
        <v>-3.6</v>
      </c>
      <c r="O207" s="12">
        <v>-3.6</v>
      </c>
      <c r="P207" s="12">
        <v>-3.6</v>
      </c>
      <c r="Q207" s="12">
        <v>-3.6</v>
      </c>
    </row>
    <row r="208" spans="2:18" ht="15" x14ac:dyDescent="0.2">
      <c r="B208" s="6"/>
      <c r="C208" s="90"/>
      <c r="D208" s="93"/>
      <c r="E208" s="8" t="s">
        <v>9</v>
      </c>
      <c r="F208" s="8">
        <v>0.68</v>
      </c>
      <c r="G208" s="8">
        <v>0.52</v>
      </c>
      <c r="H208" s="13">
        <v>0.5</v>
      </c>
      <c r="I208" s="8">
        <v>0.5</v>
      </c>
      <c r="J208" s="8">
        <v>0.52</v>
      </c>
      <c r="K208" s="13">
        <v>0.56999999999999995</v>
      </c>
      <c r="L208" s="8">
        <v>0.57999999999999996</v>
      </c>
      <c r="M208" s="8">
        <v>0.57999999999999996</v>
      </c>
      <c r="N208" s="13">
        <v>0.57999999999999996</v>
      </c>
      <c r="O208" s="8">
        <v>0.57999999999999996</v>
      </c>
      <c r="P208" s="8">
        <v>0.57999999999999996</v>
      </c>
      <c r="Q208" s="13">
        <v>0.57999999999999996</v>
      </c>
    </row>
    <row r="209" spans="2:18" ht="15" x14ac:dyDescent="0.2">
      <c r="B209" s="7"/>
      <c r="C209" s="91"/>
      <c r="D209" s="94"/>
      <c r="E209" s="14" t="s">
        <v>10</v>
      </c>
      <c r="F209" s="14">
        <v>0.9</v>
      </c>
      <c r="G209" s="14">
        <v>1</v>
      </c>
      <c r="H209" s="15">
        <v>1</v>
      </c>
      <c r="I209" s="14">
        <v>1</v>
      </c>
      <c r="J209" s="14">
        <v>1.1000000000000001</v>
      </c>
      <c r="K209" s="15">
        <v>1.7</v>
      </c>
      <c r="L209" s="14">
        <v>2.2999999999999998</v>
      </c>
      <c r="M209" s="14">
        <v>2.7</v>
      </c>
      <c r="N209" s="15">
        <v>2.9</v>
      </c>
      <c r="O209" s="14">
        <v>3</v>
      </c>
      <c r="P209" s="14">
        <v>3.1</v>
      </c>
      <c r="Q209" s="15">
        <v>3.1</v>
      </c>
      <c r="R209" s="39">
        <f>(Q206/Q205)*-1</f>
        <v>3.0997566909975669</v>
      </c>
    </row>
    <row r="210" spans="2:18" x14ac:dyDescent="0.2">
      <c r="B210" s="95"/>
      <c r="C210" s="96"/>
      <c r="D210" s="96"/>
      <c r="E210" s="96"/>
      <c r="F210" s="96"/>
      <c r="G210" s="96"/>
      <c r="H210" s="96"/>
      <c r="I210" s="96"/>
      <c r="J210" s="96"/>
      <c r="K210" s="96"/>
      <c r="L210" s="96"/>
      <c r="M210" s="96"/>
      <c r="N210" s="96"/>
      <c r="O210" s="96"/>
      <c r="P210" s="96"/>
      <c r="Q210" s="97"/>
    </row>
    <row r="211" spans="2:18" x14ac:dyDescent="0.2">
      <c r="B211" s="98"/>
      <c r="C211" s="99"/>
      <c r="D211" s="99"/>
      <c r="E211" s="99"/>
      <c r="F211" s="99"/>
      <c r="G211" s="99"/>
      <c r="H211" s="99"/>
      <c r="I211" s="99"/>
      <c r="J211" s="99"/>
      <c r="K211" s="99"/>
      <c r="L211" s="99"/>
      <c r="M211" s="99"/>
      <c r="N211" s="99"/>
      <c r="O211" s="99"/>
      <c r="P211" s="99"/>
      <c r="Q211" s="100"/>
    </row>
    <row r="212" spans="2:18" ht="15" customHeight="1" x14ac:dyDescent="0.2">
      <c r="B212" s="29">
        <v>2140</v>
      </c>
      <c r="C212" s="101"/>
      <c r="D212" s="104"/>
      <c r="E212" s="30" t="s">
        <v>4</v>
      </c>
      <c r="F212" s="107" t="s">
        <v>5</v>
      </c>
      <c r="G212" s="108"/>
      <c r="H212" s="108"/>
      <c r="I212" s="108"/>
      <c r="J212" s="108"/>
      <c r="K212" s="108"/>
      <c r="L212" s="108"/>
      <c r="M212" s="108"/>
      <c r="N212" s="108"/>
      <c r="O212" s="108"/>
      <c r="P212" s="108"/>
      <c r="Q212" s="109"/>
    </row>
    <row r="213" spans="2:18" ht="15" x14ac:dyDescent="0.2">
      <c r="B213" s="31" t="s">
        <v>3</v>
      </c>
      <c r="C213" s="102"/>
      <c r="D213" s="105"/>
      <c r="E213" s="32" t="s">
        <v>6</v>
      </c>
      <c r="F213" s="32">
        <v>4.5999999999999996</v>
      </c>
      <c r="G213" s="32">
        <v>7</v>
      </c>
      <c r="H213" s="32">
        <v>10</v>
      </c>
      <c r="I213" s="32">
        <v>13.4</v>
      </c>
      <c r="J213" s="32">
        <v>16.600000000000001</v>
      </c>
      <c r="K213" s="32">
        <v>24.2</v>
      </c>
      <c r="L213" s="32">
        <v>34.799999999999997</v>
      </c>
      <c r="M213" s="32">
        <v>45.4</v>
      </c>
      <c r="N213" s="32">
        <v>56.4</v>
      </c>
      <c r="O213" s="32">
        <v>68.599999999999994</v>
      </c>
      <c r="P213" s="32">
        <v>81.2</v>
      </c>
      <c r="Q213" s="32">
        <v>93.4</v>
      </c>
    </row>
    <row r="214" spans="2:18" ht="15" x14ac:dyDescent="0.2">
      <c r="B214" s="33">
        <v>42321</v>
      </c>
      <c r="C214" s="102"/>
      <c r="D214" s="105"/>
      <c r="E214" s="32" t="s">
        <v>7</v>
      </c>
      <c r="F214" s="32">
        <v>-4.2</v>
      </c>
      <c r="G214" s="32">
        <v>-6.4</v>
      </c>
      <c r="H214" s="32">
        <v>-9.4</v>
      </c>
      <c r="I214" s="32">
        <v>-12.6</v>
      </c>
      <c r="J214" s="32">
        <v>-16.399999999999999</v>
      </c>
      <c r="K214" s="32">
        <v>-35.799999999999997</v>
      </c>
      <c r="L214" s="32">
        <v>-73</v>
      </c>
      <c r="M214" s="32">
        <v>-110.6</v>
      </c>
      <c r="N214" s="32">
        <v>-148</v>
      </c>
      <c r="O214" s="32">
        <v>-188</v>
      </c>
      <c r="P214" s="32">
        <v>-227.8</v>
      </c>
      <c r="Q214" s="32">
        <v>-268.60000000000002</v>
      </c>
    </row>
    <row r="215" spans="2:18" ht="15" x14ac:dyDescent="0.2">
      <c r="B215" s="34"/>
      <c r="C215" s="102"/>
      <c r="D215" s="105"/>
      <c r="E215" s="35" t="s">
        <v>8</v>
      </c>
      <c r="F215" s="36">
        <v>-4.2</v>
      </c>
      <c r="G215" s="36">
        <v>-3.2</v>
      </c>
      <c r="H215" s="36">
        <v>-3.1</v>
      </c>
      <c r="I215" s="36">
        <v>-3.2</v>
      </c>
      <c r="J215" s="36">
        <v>-3.3</v>
      </c>
      <c r="K215" s="36">
        <v>-3.6</v>
      </c>
      <c r="L215" s="36">
        <v>-3.7</v>
      </c>
      <c r="M215" s="36">
        <v>-3.7</v>
      </c>
      <c r="N215" s="36">
        <v>-3.7</v>
      </c>
      <c r="O215" s="36">
        <v>-3.8</v>
      </c>
      <c r="P215" s="36">
        <v>-3.8</v>
      </c>
      <c r="Q215" s="36">
        <v>-3.8</v>
      </c>
    </row>
    <row r="216" spans="2:18" ht="15" x14ac:dyDescent="0.2">
      <c r="B216" s="34"/>
      <c r="C216" s="102"/>
      <c r="D216" s="105"/>
      <c r="E216" s="30" t="s">
        <v>9</v>
      </c>
      <c r="F216" s="30">
        <v>0.68</v>
      </c>
      <c r="G216" s="30">
        <v>0.52</v>
      </c>
      <c r="H216" s="30">
        <v>0.5</v>
      </c>
      <c r="I216" s="30">
        <v>0.52</v>
      </c>
      <c r="J216" s="30">
        <v>0.53</v>
      </c>
      <c r="K216" s="30">
        <v>0.57999999999999996</v>
      </c>
      <c r="L216" s="30">
        <v>0.6</v>
      </c>
      <c r="M216" s="30">
        <v>0.6</v>
      </c>
      <c r="N216" s="30">
        <v>0.6</v>
      </c>
      <c r="O216" s="30">
        <v>0.61</v>
      </c>
      <c r="P216" s="30">
        <v>0.61</v>
      </c>
      <c r="Q216" s="30">
        <v>0.61</v>
      </c>
    </row>
    <row r="217" spans="2:18" ht="15" x14ac:dyDescent="0.2">
      <c r="B217" s="37"/>
      <c r="C217" s="103"/>
      <c r="D217" s="106"/>
      <c r="E217" s="38" t="s">
        <v>10</v>
      </c>
      <c r="F217" s="38">
        <v>0.9</v>
      </c>
      <c r="G217" s="38">
        <v>0.9</v>
      </c>
      <c r="H217" s="38">
        <v>0.9</v>
      </c>
      <c r="I217" s="38">
        <v>0.9</v>
      </c>
      <c r="J217" s="38">
        <v>1</v>
      </c>
      <c r="K217" s="38">
        <v>1.5</v>
      </c>
      <c r="L217" s="38">
        <v>2.1</v>
      </c>
      <c r="M217" s="38">
        <v>2.4</v>
      </c>
      <c r="N217" s="38">
        <v>2.6</v>
      </c>
      <c r="O217" s="38">
        <v>2.7</v>
      </c>
      <c r="P217" s="38">
        <v>2.8</v>
      </c>
      <c r="Q217" s="38">
        <v>2.9</v>
      </c>
      <c r="R217" s="39">
        <f>(Q214/Q213)*-1</f>
        <v>2.8758029978586723</v>
      </c>
    </row>
    <row r="218" spans="2:18" x14ac:dyDescent="0.2">
      <c r="B218" s="95"/>
      <c r="C218" s="96"/>
      <c r="D218" s="96"/>
      <c r="E218" s="96"/>
      <c r="F218" s="96"/>
      <c r="G218" s="96"/>
      <c r="H218" s="96"/>
      <c r="I218" s="96"/>
      <c r="J218" s="96"/>
      <c r="K218" s="96"/>
      <c r="L218" s="96"/>
      <c r="M218" s="96"/>
      <c r="N218" s="96"/>
      <c r="O218" s="96"/>
      <c r="P218" s="96"/>
      <c r="Q218" s="97"/>
    </row>
    <row r="219" spans="2:18" x14ac:dyDescent="0.2">
      <c r="B219" s="98"/>
      <c r="C219" s="99"/>
      <c r="D219" s="99"/>
      <c r="E219" s="99"/>
      <c r="F219" s="99"/>
      <c r="G219" s="99"/>
      <c r="H219" s="99"/>
      <c r="I219" s="99"/>
      <c r="J219" s="99"/>
      <c r="K219" s="99"/>
      <c r="L219" s="99"/>
      <c r="M219" s="99"/>
      <c r="N219" s="99"/>
      <c r="O219" s="99"/>
      <c r="P219" s="99"/>
      <c r="Q219" s="100"/>
    </row>
    <row r="220" spans="2:18" ht="15" customHeight="1" x14ac:dyDescent="0.2">
      <c r="B220" s="29">
        <v>2141</v>
      </c>
      <c r="C220" s="101"/>
      <c r="D220" s="104"/>
      <c r="E220" s="30" t="s">
        <v>4</v>
      </c>
      <c r="F220" s="107" t="s">
        <v>5</v>
      </c>
      <c r="G220" s="108"/>
      <c r="H220" s="108"/>
      <c r="I220" s="108"/>
      <c r="J220" s="108"/>
      <c r="K220" s="108"/>
      <c r="L220" s="108"/>
      <c r="M220" s="108"/>
      <c r="N220" s="108"/>
      <c r="O220" s="108"/>
      <c r="P220" s="108"/>
      <c r="Q220" s="109"/>
    </row>
    <row r="221" spans="2:18" ht="15" x14ac:dyDescent="0.2">
      <c r="B221" s="31" t="s">
        <v>3</v>
      </c>
      <c r="C221" s="102"/>
      <c r="D221" s="105"/>
      <c r="E221" s="32" t="s">
        <v>6</v>
      </c>
      <c r="F221" s="32">
        <v>4.8</v>
      </c>
      <c r="G221" s="32">
        <v>7.4</v>
      </c>
      <c r="H221" s="32">
        <v>10.6</v>
      </c>
      <c r="I221" s="32">
        <v>14.6</v>
      </c>
      <c r="J221" s="32">
        <v>18</v>
      </c>
      <c r="K221" s="32">
        <v>27.4</v>
      </c>
      <c r="L221" s="32">
        <v>40.200000000000003</v>
      </c>
      <c r="M221" s="32">
        <v>52</v>
      </c>
      <c r="N221" s="32">
        <v>64.400000000000006</v>
      </c>
      <c r="O221" s="32">
        <v>78.599999999999994</v>
      </c>
      <c r="P221" s="32">
        <v>92</v>
      </c>
      <c r="Q221" s="32">
        <v>106.4</v>
      </c>
    </row>
    <row r="222" spans="2:18" ht="15" x14ac:dyDescent="0.2">
      <c r="B222" s="33">
        <v>42321</v>
      </c>
      <c r="C222" s="102"/>
      <c r="D222" s="105"/>
      <c r="E222" s="32" t="s">
        <v>7</v>
      </c>
      <c r="F222" s="32">
        <v>-4.2</v>
      </c>
      <c r="G222" s="32">
        <v>-6.4</v>
      </c>
      <c r="H222" s="32">
        <v>-9.4</v>
      </c>
      <c r="I222" s="32">
        <v>-12.2</v>
      </c>
      <c r="J222" s="32">
        <v>-15.8</v>
      </c>
      <c r="K222" s="32">
        <v>-36.4</v>
      </c>
      <c r="L222" s="32">
        <v>-77.400000000000006</v>
      </c>
      <c r="M222" s="32">
        <v>-118.8</v>
      </c>
      <c r="N222" s="32">
        <v>-163</v>
      </c>
      <c r="O222" s="32">
        <v>-206.4</v>
      </c>
      <c r="P222" s="32">
        <v>-251.4</v>
      </c>
      <c r="Q222" s="32">
        <v>-298.2</v>
      </c>
    </row>
    <row r="223" spans="2:18" ht="15" x14ac:dyDescent="0.2">
      <c r="B223" s="34"/>
      <c r="C223" s="102"/>
      <c r="D223" s="105"/>
      <c r="E223" s="35" t="s">
        <v>8</v>
      </c>
      <c r="F223" s="36">
        <v>-4.2</v>
      </c>
      <c r="G223" s="36">
        <v>-3.2</v>
      </c>
      <c r="H223" s="36">
        <v>-3.1</v>
      </c>
      <c r="I223" s="36">
        <v>-3.1</v>
      </c>
      <c r="J223" s="36">
        <v>-3.2</v>
      </c>
      <c r="K223" s="36">
        <v>-3.6</v>
      </c>
      <c r="L223" s="36">
        <v>-3.9</v>
      </c>
      <c r="M223" s="36">
        <v>-4</v>
      </c>
      <c r="N223" s="36">
        <v>-4.0999999999999996</v>
      </c>
      <c r="O223" s="36">
        <v>-4.0999999999999996</v>
      </c>
      <c r="P223" s="36">
        <v>-4.2</v>
      </c>
      <c r="Q223" s="36">
        <v>-4.3</v>
      </c>
    </row>
    <row r="224" spans="2:18" ht="15" x14ac:dyDescent="0.2">
      <c r="B224" s="34"/>
      <c r="C224" s="102"/>
      <c r="D224" s="105"/>
      <c r="E224" s="30" t="s">
        <v>9</v>
      </c>
      <c r="F224" s="30">
        <v>0.68</v>
      </c>
      <c r="G224" s="30">
        <v>0.52</v>
      </c>
      <c r="H224" s="30">
        <v>0.5</v>
      </c>
      <c r="I224" s="30">
        <v>0.5</v>
      </c>
      <c r="J224" s="30">
        <v>0.52</v>
      </c>
      <c r="K224" s="30">
        <v>0.57999999999999996</v>
      </c>
      <c r="L224" s="30">
        <v>0.63</v>
      </c>
      <c r="M224" s="30">
        <v>0.65</v>
      </c>
      <c r="N224" s="30">
        <v>0.66</v>
      </c>
      <c r="O224" s="30">
        <v>0.66</v>
      </c>
      <c r="P224" s="30">
        <v>0.68</v>
      </c>
      <c r="Q224" s="30">
        <v>0.69</v>
      </c>
    </row>
    <row r="225" spans="2:18" ht="15" x14ac:dyDescent="0.2">
      <c r="B225" s="37"/>
      <c r="C225" s="103"/>
      <c r="D225" s="106"/>
      <c r="E225" s="38" t="s">
        <v>10</v>
      </c>
      <c r="F225" s="38">
        <v>0.9</v>
      </c>
      <c r="G225" s="38">
        <v>0.9</v>
      </c>
      <c r="H225" s="38">
        <v>0.9</v>
      </c>
      <c r="I225" s="38">
        <v>0.8</v>
      </c>
      <c r="J225" s="38">
        <v>0.9</v>
      </c>
      <c r="K225" s="38">
        <v>1.3</v>
      </c>
      <c r="L225" s="38">
        <v>1.9</v>
      </c>
      <c r="M225" s="38">
        <v>2.2999999999999998</v>
      </c>
      <c r="N225" s="38">
        <v>2.5</v>
      </c>
      <c r="O225" s="38">
        <v>2.6</v>
      </c>
      <c r="P225" s="38">
        <v>2.7</v>
      </c>
      <c r="Q225" s="38">
        <v>2.8</v>
      </c>
      <c r="R225" s="39">
        <f>(Q222/Q221)*-1</f>
        <v>2.8026315789473681</v>
      </c>
    </row>
    <row r="226" spans="2:18" x14ac:dyDescent="0.2">
      <c r="B226" s="95"/>
      <c r="C226" s="96"/>
      <c r="D226" s="96"/>
      <c r="E226" s="96"/>
      <c r="F226" s="96"/>
      <c r="G226" s="96"/>
      <c r="H226" s="96"/>
      <c r="I226" s="96"/>
      <c r="J226" s="96"/>
      <c r="K226" s="96"/>
      <c r="L226" s="96"/>
      <c r="M226" s="96"/>
      <c r="N226" s="96"/>
      <c r="O226" s="96"/>
      <c r="P226" s="96"/>
      <c r="Q226" s="97"/>
    </row>
    <row r="227" spans="2:18" x14ac:dyDescent="0.2">
      <c r="B227" s="98"/>
      <c r="C227" s="99"/>
      <c r="D227" s="99"/>
      <c r="E227" s="99"/>
      <c r="F227" s="99"/>
      <c r="G227" s="99"/>
      <c r="H227" s="99"/>
      <c r="I227" s="99"/>
      <c r="J227" s="99"/>
      <c r="K227" s="99"/>
      <c r="L227" s="99"/>
      <c r="M227" s="99"/>
      <c r="N227" s="99"/>
      <c r="O227" s="99"/>
      <c r="P227" s="99"/>
      <c r="Q227" s="100"/>
    </row>
    <row r="228" spans="2:18" ht="15" customHeight="1" x14ac:dyDescent="0.2">
      <c r="B228" s="29">
        <v>2142</v>
      </c>
      <c r="C228" s="101"/>
      <c r="D228" s="104"/>
      <c r="E228" s="30" t="s">
        <v>4</v>
      </c>
      <c r="F228" s="107" t="s">
        <v>5</v>
      </c>
      <c r="G228" s="108"/>
      <c r="H228" s="108"/>
      <c r="I228" s="108"/>
      <c r="J228" s="108"/>
      <c r="K228" s="108"/>
      <c r="L228" s="108"/>
      <c r="M228" s="108"/>
      <c r="N228" s="108"/>
      <c r="O228" s="108"/>
      <c r="P228" s="108"/>
      <c r="Q228" s="109"/>
    </row>
    <row r="229" spans="2:18" ht="15" x14ac:dyDescent="0.2">
      <c r="B229" s="31" t="s">
        <v>3</v>
      </c>
      <c r="C229" s="102"/>
      <c r="D229" s="105"/>
      <c r="E229" s="32" t="s">
        <v>6</v>
      </c>
      <c r="F229" s="32">
        <v>4.8</v>
      </c>
      <c r="G229" s="32">
        <v>7.6</v>
      </c>
      <c r="H229" s="32">
        <v>11.2</v>
      </c>
      <c r="I229" s="32">
        <v>15.8</v>
      </c>
      <c r="J229" s="32">
        <v>20.399999999999999</v>
      </c>
      <c r="K229" s="32">
        <v>33.4</v>
      </c>
      <c r="L229" s="32">
        <v>50.2</v>
      </c>
      <c r="M229" s="32">
        <v>65</v>
      </c>
      <c r="N229" s="32">
        <v>80</v>
      </c>
      <c r="O229" s="32">
        <v>96</v>
      </c>
      <c r="P229" s="32">
        <v>112</v>
      </c>
      <c r="Q229" s="32">
        <v>127.8</v>
      </c>
    </row>
    <row r="230" spans="2:18" ht="15" x14ac:dyDescent="0.2">
      <c r="B230" s="33">
        <v>42321</v>
      </c>
      <c r="C230" s="102"/>
      <c r="D230" s="105"/>
      <c r="E230" s="32" t="s">
        <v>7</v>
      </c>
      <c r="F230" s="32">
        <v>-4.5999999999999996</v>
      </c>
      <c r="G230" s="32">
        <v>-6.6</v>
      </c>
      <c r="H230" s="32">
        <v>-9.6</v>
      </c>
      <c r="I230" s="32">
        <v>-12.4</v>
      </c>
      <c r="J230" s="32">
        <v>-17</v>
      </c>
      <c r="K230" s="32">
        <v>-40.799999999999997</v>
      </c>
      <c r="L230" s="32">
        <v>-85.6</v>
      </c>
      <c r="M230" s="32">
        <v>-130.4</v>
      </c>
      <c r="N230" s="32">
        <v>-178.2</v>
      </c>
      <c r="O230" s="32">
        <v>-227.4</v>
      </c>
      <c r="P230" s="32">
        <v>-276.2</v>
      </c>
      <c r="Q230" s="32">
        <v>-325.2</v>
      </c>
    </row>
    <row r="231" spans="2:18" ht="15" x14ac:dyDescent="0.2">
      <c r="B231" s="34"/>
      <c r="C231" s="102"/>
      <c r="D231" s="105"/>
      <c r="E231" s="35" t="s">
        <v>8</v>
      </c>
      <c r="F231" s="36">
        <v>-4.5999999999999996</v>
      </c>
      <c r="G231" s="36">
        <v>-3.3</v>
      </c>
      <c r="H231" s="36">
        <v>-3.2</v>
      </c>
      <c r="I231" s="36">
        <v>-3.1</v>
      </c>
      <c r="J231" s="36">
        <v>-3.4</v>
      </c>
      <c r="K231" s="36">
        <v>-4.0999999999999996</v>
      </c>
      <c r="L231" s="36">
        <v>-4.3</v>
      </c>
      <c r="M231" s="36">
        <v>-4.3</v>
      </c>
      <c r="N231" s="36">
        <v>-4.5</v>
      </c>
      <c r="O231" s="36">
        <v>-4.5</v>
      </c>
      <c r="P231" s="36">
        <v>-4.5999999999999996</v>
      </c>
      <c r="Q231" s="36">
        <v>-4.5999999999999996</v>
      </c>
    </row>
    <row r="232" spans="2:18" ht="15" x14ac:dyDescent="0.2">
      <c r="B232" s="34"/>
      <c r="C232" s="102"/>
      <c r="D232" s="105"/>
      <c r="E232" s="30" t="s">
        <v>9</v>
      </c>
      <c r="F232" s="30">
        <v>0.74</v>
      </c>
      <c r="G232" s="30">
        <v>0.53</v>
      </c>
      <c r="H232" s="30">
        <v>0.52</v>
      </c>
      <c r="I232" s="30">
        <v>0.5</v>
      </c>
      <c r="J232" s="30">
        <v>0.55000000000000004</v>
      </c>
      <c r="K232" s="30">
        <v>0.66</v>
      </c>
      <c r="L232" s="30">
        <v>0.69</v>
      </c>
      <c r="M232" s="30">
        <v>0.69</v>
      </c>
      <c r="N232" s="30">
        <v>0.73</v>
      </c>
      <c r="O232" s="30">
        <v>0.73</v>
      </c>
      <c r="P232" s="30">
        <v>0.74</v>
      </c>
      <c r="Q232" s="30">
        <v>0.74</v>
      </c>
    </row>
    <row r="233" spans="2:18" ht="15" x14ac:dyDescent="0.2">
      <c r="B233" s="37"/>
      <c r="C233" s="103"/>
      <c r="D233" s="106"/>
      <c r="E233" s="38" t="s">
        <v>10</v>
      </c>
      <c r="F233" s="38">
        <v>1</v>
      </c>
      <c r="G233" s="38">
        <v>0.9</v>
      </c>
      <c r="H233" s="38">
        <v>0.9</v>
      </c>
      <c r="I233" s="38">
        <v>0.8</v>
      </c>
      <c r="J233" s="38">
        <v>0.8</v>
      </c>
      <c r="K233" s="38">
        <v>1.2</v>
      </c>
      <c r="L233" s="38">
        <v>1.7</v>
      </c>
      <c r="M233" s="38">
        <v>2</v>
      </c>
      <c r="N233" s="38">
        <v>2.2000000000000002</v>
      </c>
      <c r="O233" s="38">
        <v>2.4</v>
      </c>
      <c r="P233" s="38">
        <v>2.5</v>
      </c>
      <c r="Q233" s="38">
        <v>2.5</v>
      </c>
      <c r="R233" s="39">
        <f>(Q230/Q229)*-1</f>
        <v>2.544600938967136</v>
      </c>
    </row>
    <row r="234" spans="2:18" x14ac:dyDescent="0.2">
      <c r="B234" s="95"/>
      <c r="C234" s="96"/>
      <c r="D234" s="96"/>
      <c r="E234" s="96"/>
      <c r="F234" s="96"/>
      <c r="G234" s="96"/>
      <c r="H234" s="96"/>
      <c r="I234" s="96"/>
      <c r="J234" s="96"/>
      <c r="K234" s="96"/>
      <c r="L234" s="96"/>
      <c r="M234" s="96"/>
      <c r="N234" s="96"/>
      <c r="O234" s="96"/>
      <c r="P234" s="96"/>
      <c r="Q234" s="97"/>
    </row>
    <row r="235" spans="2:18" x14ac:dyDescent="0.2">
      <c r="B235" s="98"/>
      <c r="C235" s="99"/>
      <c r="D235" s="99"/>
      <c r="E235" s="99"/>
      <c r="F235" s="99"/>
      <c r="G235" s="99"/>
      <c r="H235" s="99"/>
      <c r="I235" s="99"/>
      <c r="J235" s="99"/>
      <c r="K235" s="99"/>
      <c r="L235" s="99"/>
      <c r="M235" s="99"/>
      <c r="N235" s="99"/>
      <c r="O235" s="99"/>
      <c r="P235" s="99"/>
      <c r="Q235" s="100"/>
    </row>
    <row r="236" spans="2:18" ht="15" customHeight="1" x14ac:dyDescent="0.2">
      <c r="B236" s="29">
        <v>2143</v>
      </c>
      <c r="C236" s="101"/>
      <c r="D236" s="104"/>
      <c r="E236" s="30" t="s">
        <v>4</v>
      </c>
      <c r="F236" s="107" t="s">
        <v>5</v>
      </c>
      <c r="G236" s="108"/>
      <c r="H236" s="108"/>
      <c r="I236" s="108"/>
      <c r="J236" s="108"/>
      <c r="K236" s="108"/>
      <c r="L236" s="108"/>
      <c r="M236" s="108"/>
      <c r="N236" s="108"/>
      <c r="O236" s="108"/>
      <c r="P236" s="108"/>
      <c r="Q236" s="109"/>
    </row>
    <row r="237" spans="2:18" ht="15" x14ac:dyDescent="0.2">
      <c r="B237" s="31" t="s">
        <v>3</v>
      </c>
      <c r="C237" s="102"/>
      <c r="D237" s="105"/>
      <c r="E237" s="32" t="s">
        <v>6</v>
      </c>
      <c r="F237" s="32">
        <v>5.2</v>
      </c>
      <c r="G237" s="32">
        <v>8.8000000000000007</v>
      </c>
      <c r="H237" s="32">
        <v>13.2</v>
      </c>
      <c r="I237" s="32">
        <v>18.399999999999999</v>
      </c>
      <c r="J237" s="32">
        <v>23.2</v>
      </c>
      <c r="K237" s="32">
        <v>39</v>
      </c>
      <c r="L237" s="32">
        <v>58.4</v>
      </c>
      <c r="M237" s="32">
        <v>75.2</v>
      </c>
      <c r="N237" s="32">
        <v>92.2</v>
      </c>
      <c r="O237" s="32">
        <v>109.8</v>
      </c>
      <c r="P237" s="32">
        <v>126.4</v>
      </c>
      <c r="Q237" s="32">
        <v>143.4</v>
      </c>
    </row>
    <row r="238" spans="2:18" ht="15" x14ac:dyDescent="0.2">
      <c r="B238" s="33">
        <v>42321</v>
      </c>
      <c r="C238" s="102"/>
      <c r="D238" s="105"/>
      <c r="E238" s="32" t="s">
        <v>7</v>
      </c>
      <c r="F238" s="32">
        <v>-3.6</v>
      </c>
      <c r="G238" s="32">
        <v>-6</v>
      </c>
      <c r="H238" s="32">
        <v>-9</v>
      </c>
      <c r="I238" s="32">
        <v>-12.2</v>
      </c>
      <c r="J238" s="32">
        <v>-16.399999999999999</v>
      </c>
      <c r="K238" s="32">
        <v>-38.799999999999997</v>
      </c>
      <c r="L238" s="32">
        <v>-81.599999999999994</v>
      </c>
      <c r="M238" s="32">
        <v>-123.4</v>
      </c>
      <c r="N238" s="32">
        <v>-167.8</v>
      </c>
      <c r="O238" s="32">
        <v>-216</v>
      </c>
      <c r="P238" s="32">
        <v>-263.8</v>
      </c>
      <c r="Q238" s="32">
        <v>-309.60000000000002</v>
      </c>
    </row>
    <row r="239" spans="2:18" ht="15" x14ac:dyDescent="0.2">
      <c r="B239" s="34"/>
      <c r="C239" s="102"/>
      <c r="D239" s="105"/>
      <c r="E239" s="35" t="s">
        <v>8</v>
      </c>
      <c r="F239" s="36">
        <v>-3.6</v>
      </c>
      <c r="G239" s="36">
        <v>-3</v>
      </c>
      <c r="H239" s="36">
        <v>-3</v>
      </c>
      <c r="I239" s="36">
        <v>-3.1</v>
      </c>
      <c r="J239" s="36">
        <v>-3.3</v>
      </c>
      <c r="K239" s="36">
        <v>-3.9</v>
      </c>
      <c r="L239" s="36">
        <v>-4.0999999999999996</v>
      </c>
      <c r="M239" s="36">
        <v>-4.0999999999999996</v>
      </c>
      <c r="N239" s="36">
        <v>-4.2</v>
      </c>
      <c r="O239" s="36">
        <v>-4.3</v>
      </c>
      <c r="P239" s="36">
        <v>-4.4000000000000004</v>
      </c>
      <c r="Q239" s="36">
        <v>-4.4000000000000004</v>
      </c>
    </row>
    <row r="240" spans="2:18" ht="15" x14ac:dyDescent="0.2">
      <c r="B240" s="34"/>
      <c r="C240" s="102"/>
      <c r="D240" s="105"/>
      <c r="E240" s="30" t="s">
        <v>9</v>
      </c>
      <c r="F240" s="30">
        <v>0.57999999999999996</v>
      </c>
      <c r="G240" s="30">
        <v>0.48</v>
      </c>
      <c r="H240" s="30">
        <v>0.48</v>
      </c>
      <c r="I240" s="30">
        <v>0.5</v>
      </c>
      <c r="J240" s="30">
        <v>0.53</v>
      </c>
      <c r="K240" s="30">
        <v>0.63</v>
      </c>
      <c r="L240" s="30">
        <v>0.66</v>
      </c>
      <c r="M240" s="30">
        <v>0.66</v>
      </c>
      <c r="N240" s="30">
        <v>0.68</v>
      </c>
      <c r="O240" s="30">
        <v>0.69</v>
      </c>
      <c r="P240" s="30">
        <v>0.71</v>
      </c>
      <c r="Q240" s="30">
        <v>0.71</v>
      </c>
    </row>
    <row r="241" spans="2:18" ht="15" x14ac:dyDescent="0.2">
      <c r="B241" s="37"/>
      <c r="C241" s="103"/>
      <c r="D241" s="106"/>
      <c r="E241" s="38" t="s">
        <v>10</v>
      </c>
      <c r="F241" s="38">
        <v>0.7</v>
      </c>
      <c r="G241" s="38">
        <v>0.7</v>
      </c>
      <c r="H241" s="38">
        <v>0.7</v>
      </c>
      <c r="I241" s="38">
        <v>0.7</v>
      </c>
      <c r="J241" s="38">
        <v>0.7</v>
      </c>
      <c r="K241" s="38">
        <v>1</v>
      </c>
      <c r="L241" s="38">
        <v>1.4</v>
      </c>
      <c r="M241" s="38">
        <v>1.6</v>
      </c>
      <c r="N241" s="38">
        <v>1.8</v>
      </c>
      <c r="O241" s="38">
        <v>2</v>
      </c>
      <c r="P241" s="38">
        <v>2.1</v>
      </c>
      <c r="Q241" s="38">
        <v>2.2000000000000002</v>
      </c>
      <c r="R241" s="39">
        <f>(Q238/Q237)*-1</f>
        <v>2.1589958158995817</v>
      </c>
    </row>
    <row r="242" spans="2:18" x14ac:dyDescent="0.2">
      <c r="B242" s="95"/>
      <c r="C242" s="96"/>
      <c r="D242" s="96"/>
      <c r="E242" s="96"/>
      <c r="F242" s="96"/>
      <c r="G242" s="96"/>
      <c r="H242" s="96"/>
      <c r="I242" s="96"/>
      <c r="J242" s="96"/>
      <c r="K242" s="96"/>
      <c r="L242" s="96"/>
      <c r="M242" s="96"/>
      <c r="N242" s="96"/>
      <c r="O242" s="96"/>
      <c r="P242" s="96"/>
      <c r="Q242" s="97"/>
    </row>
    <row r="243" spans="2:18" x14ac:dyDescent="0.2">
      <c r="B243" s="98"/>
      <c r="C243" s="99"/>
      <c r="D243" s="99"/>
      <c r="E243" s="99"/>
      <c r="F243" s="99"/>
      <c r="G243" s="99"/>
      <c r="H243" s="99"/>
      <c r="I243" s="99"/>
      <c r="J243" s="99"/>
      <c r="K243" s="99"/>
      <c r="L243" s="99"/>
      <c r="M243" s="99"/>
      <c r="N243" s="99"/>
      <c r="O243" s="99"/>
      <c r="P243" s="99"/>
      <c r="Q243" s="100"/>
    </row>
    <row r="244" spans="2:18" ht="15" customHeight="1" x14ac:dyDescent="0.2">
      <c r="B244" s="29">
        <v>2144</v>
      </c>
      <c r="C244" s="101"/>
      <c r="D244" s="104"/>
      <c r="E244" s="30" t="s">
        <v>4</v>
      </c>
      <c r="F244" s="107" t="s">
        <v>5</v>
      </c>
      <c r="G244" s="108"/>
      <c r="H244" s="108"/>
      <c r="I244" s="108"/>
      <c r="J244" s="108"/>
      <c r="K244" s="108"/>
      <c r="L244" s="108"/>
      <c r="M244" s="108"/>
      <c r="N244" s="108"/>
      <c r="O244" s="108"/>
      <c r="P244" s="108"/>
      <c r="Q244" s="109"/>
    </row>
    <row r="245" spans="2:18" ht="15" x14ac:dyDescent="0.2">
      <c r="B245" s="31" t="s">
        <v>3</v>
      </c>
      <c r="C245" s="102"/>
      <c r="D245" s="105"/>
      <c r="E245" s="32" t="s">
        <v>6</v>
      </c>
      <c r="F245" s="32">
        <v>4.4000000000000004</v>
      </c>
      <c r="G245" s="32">
        <v>8</v>
      </c>
      <c r="H245" s="32">
        <v>12.2</v>
      </c>
      <c r="I245" s="32">
        <v>17.399999999999999</v>
      </c>
      <c r="J245" s="32">
        <v>22</v>
      </c>
      <c r="K245" s="32">
        <v>37</v>
      </c>
      <c r="L245" s="32">
        <v>56.2</v>
      </c>
      <c r="M245" s="32">
        <v>73.400000000000006</v>
      </c>
      <c r="N245" s="32">
        <v>90.8</v>
      </c>
      <c r="O245" s="32">
        <v>109</v>
      </c>
      <c r="P245" s="32">
        <v>127.6</v>
      </c>
      <c r="Q245" s="32">
        <v>144.80000000000001</v>
      </c>
    </row>
    <row r="246" spans="2:18" ht="15" x14ac:dyDescent="0.2">
      <c r="B246" s="33">
        <v>42322</v>
      </c>
      <c r="C246" s="102"/>
      <c r="D246" s="105"/>
      <c r="E246" s="32" t="s">
        <v>7</v>
      </c>
      <c r="F246" s="32">
        <v>-4.4000000000000004</v>
      </c>
      <c r="G246" s="32">
        <v>-6.6</v>
      </c>
      <c r="H246" s="32">
        <v>-9.4</v>
      </c>
      <c r="I246" s="32">
        <v>-12.4</v>
      </c>
      <c r="J246" s="32">
        <v>-16.600000000000001</v>
      </c>
      <c r="K246" s="32">
        <v>-36.6</v>
      </c>
      <c r="L246" s="32">
        <v>-75.599999999999994</v>
      </c>
      <c r="M246" s="32">
        <v>-116.2</v>
      </c>
      <c r="N246" s="32">
        <v>-160.19999999999999</v>
      </c>
      <c r="O246" s="32">
        <v>-210.6</v>
      </c>
      <c r="P246" s="32">
        <v>-259.2</v>
      </c>
      <c r="Q246" s="32">
        <v>-308.39999999999998</v>
      </c>
    </row>
    <row r="247" spans="2:18" ht="15" x14ac:dyDescent="0.2">
      <c r="B247" s="34"/>
      <c r="C247" s="102"/>
      <c r="D247" s="105"/>
      <c r="E247" s="35" t="s">
        <v>8</v>
      </c>
      <c r="F247" s="36">
        <v>-4.4000000000000004</v>
      </c>
      <c r="G247" s="36">
        <v>-3.3</v>
      </c>
      <c r="H247" s="36">
        <v>-3.1</v>
      </c>
      <c r="I247" s="36">
        <v>-3.1</v>
      </c>
      <c r="J247" s="36">
        <v>-3.3</v>
      </c>
      <c r="K247" s="36">
        <v>-3.7</v>
      </c>
      <c r="L247" s="36">
        <v>-3.8</v>
      </c>
      <c r="M247" s="36">
        <v>-3.9</v>
      </c>
      <c r="N247" s="36">
        <v>-4</v>
      </c>
      <c r="O247" s="36">
        <v>-4.2</v>
      </c>
      <c r="P247" s="36">
        <v>-4.3</v>
      </c>
      <c r="Q247" s="36">
        <v>-4.4000000000000004</v>
      </c>
    </row>
    <row r="248" spans="2:18" ht="15" x14ac:dyDescent="0.2">
      <c r="B248" s="34"/>
      <c r="C248" s="102"/>
      <c r="D248" s="105"/>
      <c r="E248" s="30" t="s">
        <v>9</v>
      </c>
      <c r="F248" s="30">
        <v>0.71</v>
      </c>
      <c r="G248" s="30">
        <v>0.53</v>
      </c>
      <c r="H248" s="30">
        <v>0.5</v>
      </c>
      <c r="I248" s="30">
        <v>0.5</v>
      </c>
      <c r="J248" s="30">
        <v>0.53</v>
      </c>
      <c r="K248" s="30">
        <v>0.6</v>
      </c>
      <c r="L248" s="30">
        <v>0.61</v>
      </c>
      <c r="M248" s="30">
        <v>0.63</v>
      </c>
      <c r="N248" s="30">
        <v>0.65</v>
      </c>
      <c r="O248" s="30">
        <v>0.68</v>
      </c>
      <c r="P248" s="30">
        <v>0.69</v>
      </c>
      <c r="Q248" s="30">
        <v>0.71</v>
      </c>
    </row>
    <row r="249" spans="2:18" ht="15" x14ac:dyDescent="0.2">
      <c r="B249" s="37"/>
      <c r="C249" s="103"/>
      <c r="D249" s="106"/>
      <c r="E249" s="38" t="s">
        <v>10</v>
      </c>
      <c r="F249" s="38">
        <v>1</v>
      </c>
      <c r="G249" s="38">
        <v>0.8</v>
      </c>
      <c r="H249" s="38">
        <v>0.8</v>
      </c>
      <c r="I249" s="38">
        <v>0.7</v>
      </c>
      <c r="J249" s="38">
        <v>0.8</v>
      </c>
      <c r="K249" s="38">
        <v>1</v>
      </c>
      <c r="L249" s="38">
        <v>1.3</v>
      </c>
      <c r="M249" s="38">
        <v>1.6</v>
      </c>
      <c r="N249" s="38">
        <v>1.8</v>
      </c>
      <c r="O249" s="38">
        <v>1.9</v>
      </c>
      <c r="P249" s="38">
        <v>2</v>
      </c>
      <c r="Q249" s="38">
        <v>2.1</v>
      </c>
      <c r="R249" s="39">
        <f>(Q246/Q245)*-1</f>
        <v>2.1298342541436459</v>
      </c>
    </row>
    <row r="250" spans="2:18" x14ac:dyDescent="0.2">
      <c r="B250" s="95"/>
      <c r="C250" s="96"/>
      <c r="D250" s="96"/>
      <c r="E250" s="96"/>
      <c r="F250" s="96"/>
      <c r="G250" s="96"/>
      <c r="H250" s="96"/>
      <c r="I250" s="96"/>
      <c r="J250" s="96"/>
      <c r="K250" s="96"/>
      <c r="L250" s="96"/>
      <c r="M250" s="96"/>
      <c r="N250" s="96"/>
      <c r="O250" s="96"/>
      <c r="P250" s="96"/>
      <c r="Q250" s="97"/>
    </row>
    <row r="251" spans="2:18" x14ac:dyDescent="0.2">
      <c r="B251" s="98"/>
      <c r="C251" s="99"/>
      <c r="D251" s="99"/>
      <c r="E251" s="99"/>
      <c r="F251" s="99"/>
      <c r="G251" s="99"/>
      <c r="H251" s="99"/>
      <c r="I251" s="99"/>
      <c r="J251" s="99"/>
      <c r="K251" s="99"/>
      <c r="L251" s="99"/>
      <c r="M251" s="99"/>
      <c r="N251" s="99"/>
      <c r="O251" s="99"/>
      <c r="P251" s="99"/>
      <c r="Q251" s="100"/>
    </row>
    <row r="252" spans="2:18" ht="15" customHeight="1" x14ac:dyDescent="0.2">
      <c r="B252" s="29">
        <v>2145</v>
      </c>
      <c r="C252" s="101"/>
      <c r="D252" s="104"/>
      <c r="E252" s="30" t="s">
        <v>4</v>
      </c>
      <c r="F252" s="107" t="s">
        <v>5</v>
      </c>
      <c r="G252" s="108"/>
      <c r="H252" s="108"/>
      <c r="I252" s="108"/>
      <c r="J252" s="108"/>
      <c r="K252" s="108"/>
      <c r="L252" s="108"/>
      <c r="M252" s="108"/>
      <c r="N252" s="108"/>
      <c r="O252" s="108"/>
      <c r="P252" s="108"/>
      <c r="Q252" s="109"/>
    </row>
    <row r="253" spans="2:18" ht="15" x14ac:dyDescent="0.2">
      <c r="B253" s="31" t="s">
        <v>3</v>
      </c>
      <c r="C253" s="102"/>
      <c r="D253" s="105"/>
      <c r="E253" s="32" t="s">
        <v>6</v>
      </c>
      <c r="F253" s="32">
        <v>4.4000000000000004</v>
      </c>
      <c r="G253" s="32">
        <v>7.8</v>
      </c>
      <c r="H253" s="32">
        <v>12.4</v>
      </c>
      <c r="I253" s="32">
        <v>17</v>
      </c>
      <c r="J253" s="32">
        <v>22.2</v>
      </c>
      <c r="K253" s="32">
        <v>37.200000000000003</v>
      </c>
      <c r="L253" s="32">
        <v>56.4</v>
      </c>
      <c r="M253" s="32">
        <v>74</v>
      </c>
      <c r="N253" s="32">
        <v>91.4</v>
      </c>
      <c r="O253" s="32">
        <v>109.8</v>
      </c>
      <c r="P253" s="32">
        <v>128.80000000000001</v>
      </c>
      <c r="Q253" s="32">
        <v>146.4</v>
      </c>
    </row>
    <row r="254" spans="2:18" ht="15" x14ac:dyDescent="0.2">
      <c r="B254" s="33">
        <v>42322</v>
      </c>
      <c r="C254" s="102"/>
      <c r="D254" s="105"/>
      <c r="E254" s="32" t="s">
        <v>7</v>
      </c>
      <c r="F254" s="32">
        <v>-4.2</v>
      </c>
      <c r="G254" s="32">
        <v>-6.2</v>
      </c>
      <c r="H254" s="32">
        <v>-9</v>
      </c>
      <c r="I254" s="32">
        <v>-12.4</v>
      </c>
      <c r="J254" s="32">
        <v>-16.2</v>
      </c>
      <c r="K254" s="32">
        <v>-40.4</v>
      </c>
      <c r="L254" s="32">
        <v>-85.4</v>
      </c>
      <c r="M254" s="32">
        <v>-130.19999999999999</v>
      </c>
      <c r="N254" s="32">
        <v>-176.6</v>
      </c>
      <c r="O254" s="32">
        <v>-229.2</v>
      </c>
      <c r="P254" s="32">
        <v>-282.8</v>
      </c>
      <c r="Q254" s="32">
        <v>-334.2</v>
      </c>
    </row>
    <row r="255" spans="2:18" ht="15" x14ac:dyDescent="0.2">
      <c r="B255" s="34"/>
      <c r="C255" s="102"/>
      <c r="D255" s="105"/>
      <c r="E255" s="35" t="s">
        <v>8</v>
      </c>
      <c r="F255" s="36">
        <v>-4.2</v>
      </c>
      <c r="G255" s="36">
        <v>-3.1</v>
      </c>
      <c r="H255" s="36">
        <v>-3</v>
      </c>
      <c r="I255" s="36">
        <v>-3.1</v>
      </c>
      <c r="J255" s="36">
        <v>-3.2</v>
      </c>
      <c r="K255" s="36">
        <v>-4</v>
      </c>
      <c r="L255" s="36">
        <v>-4.3</v>
      </c>
      <c r="M255" s="36">
        <v>-4.3</v>
      </c>
      <c r="N255" s="36">
        <v>-4.4000000000000004</v>
      </c>
      <c r="O255" s="36">
        <v>-4.5999999999999996</v>
      </c>
      <c r="P255" s="36">
        <v>-4.7</v>
      </c>
      <c r="Q255" s="36">
        <v>-4.8</v>
      </c>
    </row>
    <row r="256" spans="2:18" ht="15" x14ac:dyDescent="0.2">
      <c r="B256" s="34"/>
      <c r="C256" s="102"/>
      <c r="D256" s="105"/>
      <c r="E256" s="30" t="s">
        <v>9</v>
      </c>
      <c r="F256" s="30">
        <v>0.68</v>
      </c>
      <c r="G256" s="30">
        <v>0.5</v>
      </c>
      <c r="H256" s="30">
        <v>0.48</v>
      </c>
      <c r="I256" s="30">
        <v>0.5</v>
      </c>
      <c r="J256" s="30">
        <v>0.52</v>
      </c>
      <c r="K256" s="30">
        <v>0.65</v>
      </c>
      <c r="L256" s="30">
        <v>0.69</v>
      </c>
      <c r="M256" s="30">
        <v>0.69</v>
      </c>
      <c r="N256" s="30">
        <v>0.71</v>
      </c>
      <c r="O256" s="30">
        <v>0.74</v>
      </c>
      <c r="P256" s="30">
        <v>0.76</v>
      </c>
      <c r="Q256" s="30">
        <v>0.78</v>
      </c>
    </row>
    <row r="257" spans="2:18" ht="15" x14ac:dyDescent="0.2">
      <c r="B257" s="37"/>
      <c r="C257" s="103"/>
      <c r="D257" s="106"/>
      <c r="E257" s="38" t="s">
        <v>10</v>
      </c>
      <c r="F257" s="38">
        <v>1</v>
      </c>
      <c r="G257" s="38">
        <v>0.8</v>
      </c>
      <c r="H257" s="38">
        <v>0.7</v>
      </c>
      <c r="I257" s="38">
        <v>0.7</v>
      </c>
      <c r="J257" s="38">
        <v>0.7</v>
      </c>
      <c r="K257" s="38">
        <v>1.1000000000000001</v>
      </c>
      <c r="L257" s="38">
        <v>1.5</v>
      </c>
      <c r="M257" s="38">
        <v>1.8</v>
      </c>
      <c r="N257" s="38">
        <v>1.9</v>
      </c>
      <c r="O257" s="38">
        <v>2.1</v>
      </c>
      <c r="P257" s="38">
        <v>2.2000000000000002</v>
      </c>
      <c r="Q257" s="38">
        <v>2.2999999999999998</v>
      </c>
      <c r="R257" s="39">
        <f>(Q254/Q253)*-1</f>
        <v>2.2827868852459017</v>
      </c>
    </row>
    <row r="258" spans="2:18" x14ac:dyDescent="0.2">
      <c r="B258" s="95"/>
      <c r="C258" s="96"/>
      <c r="D258" s="96"/>
      <c r="E258" s="96"/>
      <c r="F258" s="96"/>
      <c r="G258" s="96"/>
      <c r="H258" s="96"/>
      <c r="I258" s="96"/>
      <c r="J258" s="96"/>
      <c r="K258" s="96"/>
      <c r="L258" s="96"/>
      <c r="M258" s="96"/>
      <c r="N258" s="96"/>
      <c r="O258" s="96"/>
      <c r="P258" s="96"/>
      <c r="Q258" s="97"/>
    </row>
    <row r="259" spans="2:18" x14ac:dyDescent="0.2">
      <c r="B259" s="98"/>
      <c r="C259" s="99"/>
      <c r="D259" s="99"/>
      <c r="E259" s="99"/>
      <c r="F259" s="99"/>
      <c r="G259" s="99"/>
      <c r="H259" s="99"/>
      <c r="I259" s="99"/>
      <c r="J259" s="99"/>
      <c r="K259" s="99"/>
      <c r="L259" s="99"/>
      <c r="M259" s="99"/>
      <c r="N259" s="99"/>
      <c r="O259" s="99"/>
      <c r="P259" s="99"/>
      <c r="Q259" s="100"/>
    </row>
    <row r="260" spans="2:18" ht="15" customHeight="1" x14ac:dyDescent="0.2">
      <c r="B260" s="3">
        <v>2150</v>
      </c>
      <c r="C260" s="89"/>
      <c r="D260" s="92"/>
      <c r="E260" s="8" t="s">
        <v>4</v>
      </c>
      <c r="F260" s="110" t="s">
        <v>5</v>
      </c>
      <c r="G260" s="111"/>
      <c r="H260" s="111"/>
      <c r="I260" s="111"/>
      <c r="J260" s="111"/>
      <c r="K260" s="111"/>
      <c r="L260" s="111"/>
      <c r="M260" s="111"/>
      <c r="N260" s="111"/>
      <c r="O260" s="111"/>
      <c r="P260" s="111"/>
      <c r="Q260" s="112"/>
    </row>
    <row r="261" spans="2:18" ht="15" x14ac:dyDescent="0.2">
      <c r="B261" s="4" t="s">
        <v>3</v>
      </c>
      <c r="C261" s="90"/>
      <c r="D261" s="93"/>
      <c r="E261" s="9" t="s">
        <v>6</v>
      </c>
      <c r="F261" s="9">
        <v>4.5999999999999996</v>
      </c>
      <c r="G261" s="9">
        <v>6.8</v>
      </c>
      <c r="H261" s="10">
        <v>9.8000000000000007</v>
      </c>
      <c r="I261" s="9">
        <v>13</v>
      </c>
      <c r="J261" s="9">
        <v>15.4</v>
      </c>
      <c r="K261" s="10">
        <v>21.2</v>
      </c>
      <c r="L261" s="9">
        <v>30</v>
      </c>
      <c r="M261" s="9">
        <v>38.6</v>
      </c>
      <c r="N261" s="10">
        <v>47.8</v>
      </c>
      <c r="O261" s="9">
        <v>58.2</v>
      </c>
      <c r="P261" s="9">
        <v>69</v>
      </c>
      <c r="Q261" s="10">
        <v>80</v>
      </c>
    </row>
    <row r="262" spans="2:18" ht="15" x14ac:dyDescent="0.2">
      <c r="B262" s="5">
        <v>42323</v>
      </c>
      <c r="C262" s="90"/>
      <c r="D262" s="93"/>
      <c r="E262" s="9" t="s">
        <v>7</v>
      </c>
      <c r="F262" s="9">
        <v>-4</v>
      </c>
      <c r="G262" s="9">
        <v>-6.2</v>
      </c>
      <c r="H262" s="10">
        <v>-9.1999999999999993</v>
      </c>
      <c r="I262" s="9">
        <v>-12.4</v>
      </c>
      <c r="J262" s="9">
        <v>-16</v>
      </c>
      <c r="K262" s="10">
        <v>-34.200000000000003</v>
      </c>
      <c r="L262" s="9">
        <v>-72.8</v>
      </c>
      <c r="M262" s="9">
        <v>-114</v>
      </c>
      <c r="N262" s="10">
        <v>-157.19999999999999</v>
      </c>
      <c r="O262" s="9">
        <v>-206.4</v>
      </c>
      <c r="P262" s="9">
        <v>-255.6</v>
      </c>
      <c r="Q262" s="10">
        <v>-304.2</v>
      </c>
    </row>
    <row r="263" spans="2:18" ht="15" x14ac:dyDescent="0.2">
      <c r="B263" s="6"/>
      <c r="C263" s="90"/>
      <c r="D263" s="93"/>
      <c r="E263" s="11" t="s">
        <v>8</v>
      </c>
      <c r="F263" s="12">
        <v>-4</v>
      </c>
      <c r="G263" s="12">
        <v>-3.1</v>
      </c>
      <c r="H263" s="12">
        <v>-3.1</v>
      </c>
      <c r="I263" s="12">
        <v>-3.1</v>
      </c>
      <c r="J263" s="12">
        <v>-3.2</v>
      </c>
      <c r="K263" s="12">
        <v>-3.4</v>
      </c>
      <c r="L263" s="12">
        <v>-3.6</v>
      </c>
      <c r="M263" s="12">
        <v>-3.8</v>
      </c>
      <c r="N263" s="12">
        <v>-3.9</v>
      </c>
      <c r="O263" s="12">
        <v>-4.0999999999999996</v>
      </c>
      <c r="P263" s="12">
        <v>-4.3</v>
      </c>
      <c r="Q263" s="12">
        <v>-4.3</v>
      </c>
    </row>
    <row r="264" spans="2:18" ht="15" x14ac:dyDescent="0.2">
      <c r="B264" s="6"/>
      <c r="C264" s="90"/>
      <c r="D264" s="93"/>
      <c r="E264" s="8" t="s">
        <v>9</v>
      </c>
      <c r="F264" s="8">
        <v>0.65</v>
      </c>
      <c r="G264" s="8">
        <v>0.5</v>
      </c>
      <c r="H264" s="13">
        <v>0.5</v>
      </c>
      <c r="I264" s="8">
        <v>0.5</v>
      </c>
      <c r="J264" s="8">
        <v>0.52</v>
      </c>
      <c r="K264" s="13">
        <v>0.55000000000000004</v>
      </c>
      <c r="L264" s="8">
        <v>0.57999999999999996</v>
      </c>
      <c r="M264" s="8">
        <v>0.61</v>
      </c>
      <c r="N264" s="13">
        <v>0.63</v>
      </c>
      <c r="O264" s="8">
        <v>0.66</v>
      </c>
      <c r="P264" s="8">
        <v>0.69</v>
      </c>
      <c r="Q264" s="13">
        <v>0.69</v>
      </c>
    </row>
    <row r="265" spans="2:18" ht="15" x14ac:dyDescent="0.2">
      <c r="B265" s="7"/>
      <c r="C265" s="91"/>
      <c r="D265" s="94"/>
      <c r="E265" s="14" t="s">
        <v>10</v>
      </c>
      <c r="F265" s="14">
        <v>0.9</v>
      </c>
      <c r="G265" s="14">
        <v>0.9</v>
      </c>
      <c r="H265" s="15">
        <v>0.9</v>
      </c>
      <c r="I265" s="14">
        <v>1</v>
      </c>
      <c r="J265" s="14">
        <v>1</v>
      </c>
      <c r="K265" s="15">
        <v>1.6</v>
      </c>
      <c r="L265" s="14">
        <v>2.4</v>
      </c>
      <c r="M265" s="14">
        <v>3</v>
      </c>
      <c r="N265" s="15">
        <v>3.3</v>
      </c>
      <c r="O265" s="14">
        <v>3.5</v>
      </c>
      <c r="P265" s="14">
        <v>3.7</v>
      </c>
      <c r="Q265" s="15">
        <v>3.8</v>
      </c>
      <c r="R265" s="39">
        <f>(Q262/Q261)*-1</f>
        <v>3.8024999999999998</v>
      </c>
    </row>
    <row r="266" spans="2:18" x14ac:dyDescent="0.2">
      <c r="B266" s="95"/>
      <c r="C266" s="96"/>
      <c r="D266" s="96"/>
      <c r="E266" s="96"/>
      <c r="F266" s="96"/>
      <c r="G266" s="96"/>
      <c r="H266" s="96"/>
      <c r="I266" s="96"/>
      <c r="J266" s="96"/>
      <c r="K266" s="96"/>
      <c r="L266" s="96"/>
      <c r="M266" s="96"/>
      <c r="N266" s="96"/>
      <c r="O266" s="96"/>
      <c r="P266" s="96"/>
      <c r="Q266" s="97"/>
    </row>
    <row r="267" spans="2:18" x14ac:dyDescent="0.2">
      <c r="B267" s="98"/>
      <c r="C267" s="99"/>
      <c r="D267" s="99"/>
      <c r="E267" s="99"/>
      <c r="F267" s="99"/>
      <c r="G267" s="99"/>
      <c r="H267" s="99"/>
      <c r="I267" s="99"/>
      <c r="J267" s="99"/>
      <c r="K267" s="99"/>
      <c r="L267" s="99"/>
      <c r="M267" s="99"/>
      <c r="N267" s="99"/>
      <c r="O267" s="99"/>
      <c r="P267" s="99"/>
      <c r="Q267" s="100"/>
    </row>
    <row r="268" spans="2:18" ht="15" customHeight="1" x14ac:dyDescent="0.2">
      <c r="B268" s="3">
        <v>2151</v>
      </c>
      <c r="C268" s="89"/>
      <c r="D268" s="92"/>
      <c r="E268" s="8" t="s">
        <v>4</v>
      </c>
      <c r="F268" s="110" t="s">
        <v>5</v>
      </c>
      <c r="G268" s="111"/>
      <c r="H268" s="111"/>
      <c r="I268" s="111"/>
      <c r="J268" s="111"/>
      <c r="K268" s="111"/>
      <c r="L268" s="111"/>
      <c r="M268" s="111"/>
      <c r="N268" s="111"/>
      <c r="O268" s="111"/>
      <c r="P268" s="111"/>
      <c r="Q268" s="112"/>
    </row>
    <row r="269" spans="2:18" ht="15" x14ac:dyDescent="0.2">
      <c r="B269" s="4" t="s">
        <v>3</v>
      </c>
      <c r="C269" s="90"/>
      <c r="D269" s="93"/>
      <c r="E269" s="9" t="s">
        <v>6</v>
      </c>
      <c r="F269" s="9">
        <v>4.4000000000000004</v>
      </c>
      <c r="G269" s="9">
        <v>6.8</v>
      </c>
      <c r="H269" s="10">
        <v>9.6</v>
      </c>
      <c r="I269" s="9">
        <v>12.8</v>
      </c>
      <c r="J269" s="9">
        <v>15</v>
      </c>
      <c r="K269" s="10">
        <v>20.8</v>
      </c>
      <c r="L269" s="9">
        <v>29.6</v>
      </c>
      <c r="M269" s="9">
        <v>38.200000000000003</v>
      </c>
      <c r="N269" s="10">
        <v>47.2</v>
      </c>
      <c r="O269" s="9">
        <v>57.6</v>
      </c>
      <c r="P269" s="9">
        <v>68.2</v>
      </c>
      <c r="Q269" s="10">
        <v>78.8</v>
      </c>
    </row>
    <row r="270" spans="2:18" ht="15" x14ac:dyDescent="0.2">
      <c r="B270" s="5">
        <v>42323</v>
      </c>
      <c r="C270" s="90"/>
      <c r="D270" s="93"/>
      <c r="E270" s="9" t="s">
        <v>7</v>
      </c>
      <c r="F270" s="9">
        <v>-4</v>
      </c>
      <c r="G270" s="9">
        <v>-6.2</v>
      </c>
      <c r="H270" s="10">
        <v>-9.1999999999999993</v>
      </c>
      <c r="I270" s="9">
        <v>-12</v>
      </c>
      <c r="J270" s="9">
        <v>-15.6</v>
      </c>
      <c r="K270" s="10">
        <v>-33.4</v>
      </c>
      <c r="L270" s="9">
        <v>-72.8</v>
      </c>
      <c r="M270" s="9">
        <v>-114.4</v>
      </c>
      <c r="N270" s="10">
        <v>-159.4</v>
      </c>
      <c r="O270" s="9">
        <v>-211</v>
      </c>
      <c r="P270" s="9">
        <v>-263.8</v>
      </c>
      <c r="Q270" s="10">
        <v>-314.2</v>
      </c>
    </row>
    <row r="271" spans="2:18" ht="15" x14ac:dyDescent="0.2">
      <c r="B271" s="6"/>
      <c r="C271" s="90"/>
      <c r="D271" s="93"/>
      <c r="E271" s="11" t="s">
        <v>8</v>
      </c>
      <c r="F271" s="12">
        <v>-4</v>
      </c>
      <c r="G271" s="12">
        <v>-3.1</v>
      </c>
      <c r="H271" s="12">
        <v>-3.1</v>
      </c>
      <c r="I271" s="12">
        <v>-3</v>
      </c>
      <c r="J271" s="12">
        <v>-3.1</v>
      </c>
      <c r="K271" s="12">
        <v>-3.3</v>
      </c>
      <c r="L271" s="12">
        <v>-3.6</v>
      </c>
      <c r="M271" s="12">
        <v>-3.8</v>
      </c>
      <c r="N271" s="12">
        <v>-4</v>
      </c>
      <c r="O271" s="12">
        <v>-4.2</v>
      </c>
      <c r="P271" s="12">
        <v>-4.4000000000000004</v>
      </c>
      <c r="Q271" s="12">
        <v>-4.5</v>
      </c>
    </row>
    <row r="272" spans="2:18" ht="15" x14ac:dyDescent="0.2">
      <c r="B272" s="6"/>
      <c r="C272" s="90"/>
      <c r="D272" s="93"/>
      <c r="E272" s="8" t="s">
        <v>9</v>
      </c>
      <c r="F272" s="8">
        <v>0.65</v>
      </c>
      <c r="G272" s="8">
        <v>0.5</v>
      </c>
      <c r="H272" s="13">
        <v>0.5</v>
      </c>
      <c r="I272" s="8">
        <v>0.48</v>
      </c>
      <c r="J272" s="8">
        <v>0.5</v>
      </c>
      <c r="K272" s="13">
        <v>0.53</v>
      </c>
      <c r="L272" s="8">
        <v>0.57999999999999996</v>
      </c>
      <c r="M272" s="8">
        <v>0.61</v>
      </c>
      <c r="N272" s="13">
        <v>0.65</v>
      </c>
      <c r="O272" s="8">
        <v>0.68</v>
      </c>
      <c r="P272" s="8">
        <v>0.71</v>
      </c>
      <c r="Q272" s="13">
        <v>0.73</v>
      </c>
    </row>
    <row r="273" spans="1:18" ht="15" x14ac:dyDescent="0.2">
      <c r="B273" s="7"/>
      <c r="C273" s="91"/>
      <c r="D273" s="94"/>
      <c r="E273" s="14" t="s">
        <v>10</v>
      </c>
      <c r="F273" s="14">
        <v>0.9</v>
      </c>
      <c r="G273" s="14">
        <v>0.9</v>
      </c>
      <c r="H273" s="15">
        <v>1</v>
      </c>
      <c r="I273" s="14">
        <v>0.9</v>
      </c>
      <c r="J273" s="14">
        <v>1</v>
      </c>
      <c r="K273" s="15">
        <v>1.6</v>
      </c>
      <c r="L273" s="14">
        <v>2.5</v>
      </c>
      <c r="M273" s="14">
        <v>3</v>
      </c>
      <c r="N273" s="15">
        <v>3.4</v>
      </c>
      <c r="O273" s="14">
        <v>3.7</v>
      </c>
      <c r="P273" s="14">
        <v>3.9</v>
      </c>
      <c r="Q273" s="15">
        <v>4</v>
      </c>
      <c r="R273" s="39">
        <f>(Q270/Q269)*-1</f>
        <v>3.9873096446700509</v>
      </c>
    </row>
    <row r="274" spans="1:18" x14ac:dyDescent="0.2">
      <c r="B274" s="95"/>
      <c r="C274" s="96"/>
      <c r="D274" s="96"/>
      <c r="E274" s="96"/>
      <c r="F274" s="96"/>
      <c r="G274" s="96"/>
      <c r="H274" s="96"/>
      <c r="I274" s="96"/>
      <c r="J274" s="96"/>
      <c r="K274" s="96"/>
      <c r="L274" s="96"/>
      <c r="M274" s="96"/>
      <c r="N274" s="96"/>
      <c r="O274" s="96"/>
      <c r="P274" s="96"/>
      <c r="Q274" s="97"/>
    </row>
    <row r="275" spans="1:18" x14ac:dyDescent="0.2">
      <c r="B275" s="98"/>
      <c r="C275" s="99"/>
      <c r="D275" s="99"/>
      <c r="E275" s="99"/>
      <c r="F275" s="99"/>
      <c r="G275" s="99"/>
      <c r="H275" s="99"/>
      <c r="I275" s="99"/>
      <c r="J275" s="99"/>
      <c r="K275" s="99"/>
      <c r="L275" s="99"/>
      <c r="M275" s="99"/>
      <c r="N275" s="99"/>
      <c r="O275" s="99"/>
      <c r="P275" s="99"/>
      <c r="Q275" s="100"/>
    </row>
    <row r="276" spans="1:18" ht="15" x14ac:dyDescent="0.2"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</row>
    <row r="277" spans="1:18" ht="15" x14ac:dyDescent="0.2">
      <c r="A277" s="17"/>
      <c r="B277" s="88"/>
      <c r="C277" s="88"/>
      <c r="D277" s="88"/>
      <c r="E277" s="88"/>
      <c r="F277" s="88"/>
      <c r="G277" s="88"/>
      <c r="H277" s="88"/>
      <c r="I277" s="88"/>
      <c r="J277" s="88"/>
      <c r="K277" s="88"/>
      <c r="L277" s="88"/>
      <c r="M277" s="88"/>
      <c r="N277" s="88"/>
      <c r="O277" s="88"/>
      <c r="P277" s="88"/>
      <c r="Q277" s="88"/>
    </row>
    <row r="280" spans="1:18" x14ac:dyDescent="0.2">
      <c r="A280" t="s">
        <v>19</v>
      </c>
      <c r="E280" s="59" t="s">
        <v>25</v>
      </c>
      <c r="F280" s="60">
        <v>0.96</v>
      </c>
    </row>
    <row r="281" spans="1:18" x14ac:dyDescent="0.2">
      <c r="E281" s="61" t="s">
        <v>26</v>
      </c>
      <c r="F281" s="62">
        <v>85</v>
      </c>
    </row>
    <row r="282" spans="1:18" x14ac:dyDescent="0.2">
      <c r="E282" s="61" t="s">
        <v>27</v>
      </c>
      <c r="F282" s="62">
        <v>0.9</v>
      </c>
    </row>
    <row r="285" spans="1:18" ht="15" x14ac:dyDescent="0.2">
      <c r="B285" s="70" t="s">
        <v>37</v>
      </c>
      <c r="E285" s="1" t="s">
        <v>13</v>
      </c>
      <c r="F285" s="1">
        <v>1</v>
      </c>
      <c r="G285" s="1">
        <v>2</v>
      </c>
      <c r="H285" s="1">
        <v>3</v>
      </c>
      <c r="I285" s="1">
        <v>4</v>
      </c>
      <c r="J285" s="1">
        <v>5</v>
      </c>
      <c r="K285" s="1">
        <v>10</v>
      </c>
      <c r="L285" s="1">
        <v>20</v>
      </c>
      <c r="M285" s="1">
        <v>30</v>
      </c>
      <c r="N285" s="1">
        <v>40</v>
      </c>
      <c r="O285" s="1">
        <v>50</v>
      </c>
      <c r="P285" s="1">
        <v>60</v>
      </c>
      <c r="Q285" s="1">
        <v>70</v>
      </c>
    </row>
    <row r="286" spans="1:18" ht="13.5" x14ac:dyDescent="0.2">
      <c r="E286" s="9" t="s">
        <v>6</v>
      </c>
      <c r="F286" s="42">
        <f t="shared" ref="F286:Q286" si="0">F294/2</f>
        <v>3</v>
      </c>
      <c r="G286" s="42">
        <f t="shared" si="0"/>
        <v>4.0999999999999996</v>
      </c>
      <c r="H286" s="43">
        <f t="shared" si="0"/>
        <v>5.0999999999999996</v>
      </c>
      <c r="I286" s="42">
        <f t="shared" si="0"/>
        <v>6</v>
      </c>
      <c r="J286" s="42">
        <f t="shared" si="0"/>
        <v>6.9</v>
      </c>
      <c r="K286" s="43">
        <f t="shared" si="0"/>
        <v>10</v>
      </c>
      <c r="L286" s="42">
        <f t="shared" si="0"/>
        <v>15</v>
      </c>
      <c r="M286" s="42">
        <f t="shared" si="0"/>
        <v>20</v>
      </c>
      <c r="N286" s="43">
        <f t="shared" si="0"/>
        <v>25</v>
      </c>
      <c r="O286" s="42">
        <f t="shared" si="0"/>
        <v>30.1</v>
      </c>
      <c r="P286" s="42">
        <f t="shared" si="0"/>
        <v>35.200000000000003</v>
      </c>
      <c r="Q286" s="43">
        <f t="shared" si="0"/>
        <v>40.4</v>
      </c>
    </row>
    <row r="287" spans="1:18" ht="13.5" x14ac:dyDescent="0.2">
      <c r="E287" s="9" t="s">
        <v>7</v>
      </c>
      <c r="F287" s="42">
        <f t="shared" ref="F287:Q287" si="1">F295/2</f>
        <v>-2.4</v>
      </c>
      <c r="G287" s="42">
        <f t="shared" si="1"/>
        <v>-4.25</v>
      </c>
      <c r="H287" s="43">
        <f t="shared" si="1"/>
        <v>-6</v>
      </c>
      <c r="I287" s="42">
        <f t="shared" si="1"/>
        <v>-7.75</v>
      </c>
      <c r="J287" s="42">
        <f t="shared" si="1"/>
        <v>-9.5</v>
      </c>
      <c r="K287" s="43">
        <f t="shared" si="1"/>
        <v>-19.5</v>
      </c>
      <c r="L287" s="42">
        <f t="shared" si="1"/>
        <v>-40</v>
      </c>
      <c r="M287" s="42">
        <f t="shared" si="1"/>
        <v>-61</v>
      </c>
      <c r="N287" s="43">
        <f t="shared" si="1"/>
        <v>-82.5</v>
      </c>
      <c r="O287" s="42">
        <f t="shared" si="1"/>
        <v>-105</v>
      </c>
      <c r="P287" s="42">
        <f t="shared" si="1"/>
        <v>-128.5</v>
      </c>
      <c r="Q287" s="43">
        <f t="shared" si="1"/>
        <v>-152.5</v>
      </c>
    </row>
    <row r="288" spans="1:18" ht="13.5" x14ac:dyDescent="0.2">
      <c r="E288" s="49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3"/>
    </row>
    <row r="289" spans="2:18" ht="13.5" x14ac:dyDescent="0.2">
      <c r="E289" s="49"/>
      <c r="F289" s="52"/>
      <c r="G289" s="52"/>
      <c r="H289" s="52"/>
      <c r="I289" s="52"/>
      <c r="J289" s="52"/>
      <c r="K289" s="52"/>
      <c r="L289" s="52"/>
      <c r="M289" s="52"/>
      <c r="N289" s="52"/>
      <c r="O289" s="51" t="s">
        <v>14</v>
      </c>
      <c r="P289" s="52"/>
      <c r="Q289" s="52"/>
      <c r="R289" s="53"/>
    </row>
    <row r="290" spans="2:18" ht="13.5" x14ac:dyDescent="0.2">
      <c r="E290" s="9" t="s">
        <v>6</v>
      </c>
      <c r="F290" s="42">
        <v>5.7545454545454549</v>
      </c>
      <c r="G290" s="42">
        <v>8.0727272727272741</v>
      </c>
      <c r="H290" s="43">
        <v>10.9</v>
      </c>
      <c r="I290" s="42">
        <v>13.509090909090911</v>
      </c>
      <c r="J290" s="42">
        <v>15.509090909090908</v>
      </c>
      <c r="K290" s="43">
        <v>21.181818181818183</v>
      </c>
      <c r="L290" s="42">
        <v>29.327272727272728</v>
      </c>
      <c r="M290" s="42">
        <v>37.236363636363642</v>
      </c>
      <c r="N290" s="43">
        <v>45.75454545454545</v>
      </c>
      <c r="O290" s="42">
        <v>55.154545454545449</v>
      </c>
      <c r="P290" s="42">
        <v>64.872727272727275</v>
      </c>
      <c r="Q290" s="43">
        <v>74.690909090909102</v>
      </c>
      <c r="R290" s="18" t="s">
        <v>35</v>
      </c>
    </row>
    <row r="291" spans="2:18" ht="13.5" x14ac:dyDescent="0.2">
      <c r="E291" s="9" t="s">
        <v>7</v>
      </c>
      <c r="F291" s="42">
        <v>-4.9454545454545462</v>
      </c>
      <c r="G291" s="42">
        <v>-7.1454545454545437</v>
      </c>
      <c r="H291" s="43">
        <v>-9.9909090909090903</v>
      </c>
      <c r="I291" s="42">
        <v>-13.118181818181817</v>
      </c>
      <c r="J291" s="42">
        <v>-16.845454545454544</v>
      </c>
      <c r="K291" s="43">
        <v>-36.77272727272728</v>
      </c>
      <c r="L291" s="42">
        <v>-76.481818181818198</v>
      </c>
      <c r="M291" s="42">
        <v>-116.61818181818184</v>
      </c>
      <c r="N291" s="43">
        <v>-158.41818181818178</v>
      </c>
      <c r="O291" s="42">
        <v>-202.78181818181818</v>
      </c>
      <c r="P291" s="42">
        <v>-246.80909090909091</v>
      </c>
      <c r="Q291" s="43">
        <v>-289.48181818181814</v>
      </c>
      <c r="R291" s="18" t="s">
        <v>30</v>
      </c>
    </row>
    <row r="292" spans="2:18" ht="15" x14ac:dyDescent="0.2">
      <c r="E292" s="8" t="s">
        <v>9</v>
      </c>
      <c r="F292" s="45">
        <v>0.79999999999999971</v>
      </c>
      <c r="G292" s="45">
        <v>0.57818181818181824</v>
      </c>
      <c r="H292" s="46">
        <v>0.53636363636363626</v>
      </c>
      <c r="I292" s="45">
        <v>0.53454545454545466</v>
      </c>
      <c r="J292" s="45">
        <v>0.54500000000000004</v>
      </c>
      <c r="K292" s="46">
        <v>0.59363636363636363</v>
      </c>
      <c r="L292" s="45">
        <v>0.61818181818181828</v>
      </c>
      <c r="M292" s="45">
        <v>0.62954545454545463</v>
      </c>
      <c r="N292" s="46">
        <v>0.64227272727272744</v>
      </c>
      <c r="O292" s="45">
        <v>0.65636363636363626</v>
      </c>
      <c r="P292" s="45">
        <v>0.66409090909090907</v>
      </c>
      <c r="Q292" s="46">
        <v>0.66818181818181821</v>
      </c>
      <c r="R292" t="s">
        <v>28</v>
      </c>
    </row>
    <row r="293" spans="2:18" ht="15" x14ac:dyDescent="0.2">
      <c r="E293" s="1" t="s">
        <v>12</v>
      </c>
      <c r="F293" s="1">
        <v>1</v>
      </c>
      <c r="G293" s="1">
        <v>2</v>
      </c>
      <c r="H293" s="1">
        <v>3</v>
      </c>
      <c r="I293" s="1">
        <v>4</v>
      </c>
      <c r="J293" s="1">
        <v>5</v>
      </c>
      <c r="K293" s="1">
        <v>10</v>
      </c>
      <c r="L293" s="1">
        <v>20</v>
      </c>
      <c r="M293" s="1">
        <v>30</v>
      </c>
      <c r="N293" s="1">
        <v>40</v>
      </c>
      <c r="O293" s="1">
        <v>50</v>
      </c>
      <c r="P293" s="1">
        <v>60</v>
      </c>
      <c r="Q293" s="1">
        <v>70</v>
      </c>
    </row>
    <row r="294" spans="2:18" ht="13.5" x14ac:dyDescent="0.2">
      <c r="E294" s="9" t="s">
        <v>6</v>
      </c>
      <c r="F294" s="64">
        <v>6</v>
      </c>
      <c r="G294" s="64">
        <v>8.1999999999999993</v>
      </c>
      <c r="H294" s="65">
        <v>10.199999999999999</v>
      </c>
      <c r="I294" s="64">
        <v>12</v>
      </c>
      <c r="J294" s="64">
        <f>6.9*2</f>
        <v>13.8</v>
      </c>
      <c r="K294" s="65">
        <v>20</v>
      </c>
      <c r="L294" s="64">
        <v>30</v>
      </c>
      <c r="M294" s="64">
        <v>40</v>
      </c>
      <c r="N294" s="65">
        <v>50</v>
      </c>
      <c r="O294" s="64">
        <f>30.1*2</f>
        <v>60.2</v>
      </c>
      <c r="P294" s="64">
        <f>35.2*2</f>
        <v>70.400000000000006</v>
      </c>
      <c r="Q294" s="65">
        <f>40.4*2</f>
        <v>80.8</v>
      </c>
      <c r="R294" s="57" t="s">
        <v>40</v>
      </c>
    </row>
    <row r="295" spans="2:18" ht="13.5" x14ac:dyDescent="0.2">
      <c r="E295" s="9" t="s">
        <v>7</v>
      </c>
      <c r="F295" s="72">
        <v>-4.8</v>
      </c>
      <c r="G295" s="72">
        <v>-8.5</v>
      </c>
      <c r="H295" s="73">
        <v>-12</v>
      </c>
      <c r="I295" s="72">
        <v>-15.5</v>
      </c>
      <c r="J295" s="72">
        <v>-19</v>
      </c>
      <c r="K295" s="73">
        <v>-39</v>
      </c>
      <c r="L295" s="72">
        <v>-80</v>
      </c>
      <c r="M295" s="72">
        <v>-122</v>
      </c>
      <c r="N295" s="73">
        <v>-165</v>
      </c>
      <c r="O295" s="72">
        <v>-210</v>
      </c>
      <c r="P295" s="72">
        <v>-257</v>
      </c>
      <c r="Q295" s="73">
        <v>-305</v>
      </c>
      <c r="R295" s="71" t="s">
        <v>38</v>
      </c>
    </row>
    <row r="296" spans="2:18" ht="15" x14ac:dyDescent="0.2">
      <c r="E296" s="11" t="s">
        <v>8</v>
      </c>
      <c r="F296" s="44">
        <f>F295/F293</f>
        <v>-4.8</v>
      </c>
      <c r="G296" s="44">
        <f t="shared" ref="G296:I296" si="2">G295/G293</f>
        <v>-4.25</v>
      </c>
      <c r="H296" s="44">
        <f t="shared" si="2"/>
        <v>-4</v>
      </c>
      <c r="I296" s="44">
        <f t="shared" si="2"/>
        <v>-3.875</v>
      </c>
      <c r="J296" s="44">
        <f t="shared" ref="J296" si="3">J295/J293</f>
        <v>-3.8</v>
      </c>
      <c r="K296" s="44">
        <f t="shared" ref="K296:L296" si="4">K295/K293</f>
        <v>-3.9</v>
      </c>
      <c r="L296" s="44">
        <f t="shared" si="4"/>
        <v>-4</v>
      </c>
      <c r="M296" s="44">
        <f t="shared" ref="M296" si="5">M295/M293</f>
        <v>-4.0666666666666664</v>
      </c>
      <c r="N296" s="44">
        <f t="shared" ref="N296:O296" si="6">N295/N293</f>
        <v>-4.125</v>
      </c>
      <c r="O296" s="44">
        <f t="shared" si="6"/>
        <v>-4.2</v>
      </c>
      <c r="P296" s="44">
        <f t="shared" ref="P296" si="7">P295/P293</f>
        <v>-4.2833333333333332</v>
      </c>
      <c r="Q296" s="44">
        <f t="shared" ref="Q296" si="8">Q295/Q293</f>
        <v>-4.3571428571428568</v>
      </c>
    </row>
    <row r="297" spans="2:18" ht="15" x14ac:dyDescent="0.2">
      <c r="E297" s="8" t="s">
        <v>9</v>
      </c>
      <c r="F297" s="45">
        <f>SQRT(12*32.2*F296^2/(4*$F$281*($F$280*56)*$F$282^2))</f>
        <v>0.77543999738373293</v>
      </c>
      <c r="G297" s="45">
        <f t="shared" ref="G297:Q297" si="9">SQRT(12*32.2*G296^2/(4*$F$281*($F$280*56)*$F$282^2))</f>
        <v>0.68658749768351357</v>
      </c>
      <c r="H297" s="46">
        <f t="shared" si="9"/>
        <v>0.64619999781977744</v>
      </c>
      <c r="I297" s="45">
        <f t="shared" si="9"/>
        <v>0.62600624788790937</v>
      </c>
      <c r="J297" s="45">
        <f t="shared" si="9"/>
        <v>0.61388999792878851</v>
      </c>
      <c r="K297" s="46">
        <f t="shared" si="9"/>
        <v>0.63004499787428303</v>
      </c>
      <c r="L297" s="45">
        <f t="shared" si="9"/>
        <v>0.64619999781977744</v>
      </c>
      <c r="M297" s="45">
        <f t="shared" si="9"/>
        <v>0.65696999778344034</v>
      </c>
      <c r="N297" s="46">
        <f t="shared" si="9"/>
        <v>0.6663937477516455</v>
      </c>
      <c r="O297" s="45">
        <f t="shared" si="9"/>
        <v>0.67850999771076637</v>
      </c>
      <c r="P297" s="45">
        <f t="shared" si="9"/>
        <v>0.69197249766534497</v>
      </c>
      <c r="Q297" s="46">
        <f t="shared" si="9"/>
        <v>0.70389642619654325</v>
      </c>
      <c r="R297" s="71" t="s">
        <v>39</v>
      </c>
    </row>
    <row r="298" spans="2:18" ht="15" x14ac:dyDescent="0.2">
      <c r="B298" s="18" t="s">
        <v>42</v>
      </c>
      <c r="E298" s="14" t="s">
        <v>10</v>
      </c>
      <c r="F298" s="47">
        <f>(F295/F294)*-1</f>
        <v>0.79999999999999993</v>
      </c>
      <c r="G298" s="47">
        <f t="shared" ref="G298:Q298" si="10">(G295/G294)*-1</f>
        <v>1.0365853658536586</v>
      </c>
      <c r="H298" s="48">
        <f t="shared" si="10"/>
        <v>1.1764705882352942</v>
      </c>
      <c r="I298" s="47">
        <f t="shared" si="10"/>
        <v>1.2916666666666667</v>
      </c>
      <c r="J298" s="47">
        <f t="shared" si="10"/>
        <v>1.3768115942028984</v>
      </c>
      <c r="K298" s="48">
        <f t="shared" si="10"/>
        <v>1.95</v>
      </c>
      <c r="L298" s="47">
        <f t="shared" si="10"/>
        <v>2.6666666666666665</v>
      </c>
      <c r="M298" s="47">
        <f t="shared" si="10"/>
        <v>3.05</v>
      </c>
      <c r="N298" s="48">
        <f t="shared" si="10"/>
        <v>3.3</v>
      </c>
      <c r="O298" s="47">
        <f t="shared" si="10"/>
        <v>3.4883720930232558</v>
      </c>
      <c r="P298" s="47">
        <f t="shared" si="10"/>
        <v>3.6505681818181817</v>
      </c>
      <c r="Q298" s="48">
        <f t="shared" si="10"/>
        <v>3.7747524752475248</v>
      </c>
      <c r="R298" s="39"/>
    </row>
    <row r="300" spans="2:18" x14ac:dyDescent="0.2">
      <c r="G300" s="74">
        <f>G298-F298</f>
        <v>0.23658536585365864</v>
      </c>
      <c r="H300" s="74">
        <f t="shared" ref="H300:J300" si="11">H298-G298</f>
        <v>0.13988522238163559</v>
      </c>
      <c r="I300" s="74">
        <f t="shared" si="11"/>
        <v>0.11519607843137258</v>
      </c>
      <c r="J300" s="74">
        <f t="shared" si="11"/>
        <v>8.5144927536231707E-2</v>
      </c>
      <c r="K300" s="74">
        <f>(K298-J298)/5</f>
        <v>0.1146376811594203</v>
      </c>
      <c r="L300" s="74">
        <f>(L298-K298)/10</f>
        <v>7.1666666666666656E-2</v>
      </c>
      <c r="M300" s="74">
        <f t="shared" ref="M300:Q300" si="12">(M298-L298)/10</f>
        <v>3.833333333333333E-2</v>
      </c>
      <c r="N300" s="74">
        <f t="shared" si="12"/>
        <v>2.5000000000000001E-2</v>
      </c>
      <c r="O300" s="74">
        <f t="shared" si="12"/>
        <v>1.8837209302325596E-2</v>
      </c>
      <c r="P300" s="74">
        <f t="shared" si="12"/>
        <v>1.6219608879492586E-2</v>
      </c>
      <c r="Q300" s="74">
        <f t="shared" si="12"/>
        <v>1.2418429342934311E-2</v>
      </c>
    </row>
    <row r="301" spans="2:18" x14ac:dyDescent="0.2">
      <c r="G301" s="74">
        <f>G298-F298</f>
        <v>0.23658536585365864</v>
      </c>
      <c r="H301" s="74">
        <f t="shared" ref="H301:Q301" si="13">H298-G298</f>
        <v>0.13988522238163559</v>
      </c>
      <c r="I301" s="74">
        <f t="shared" si="13"/>
        <v>0.11519607843137258</v>
      </c>
      <c r="J301" s="74">
        <f t="shared" si="13"/>
        <v>8.5144927536231707E-2</v>
      </c>
      <c r="K301" s="74">
        <f t="shared" si="13"/>
        <v>0.57318840579710151</v>
      </c>
      <c r="L301" s="74">
        <f t="shared" si="13"/>
        <v>0.71666666666666656</v>
      </c>
      <c r="M301" s="74">
        <f t="shared" si="13"/>
        <v>0.3833333333333333</v>
      </c>
      <c r="N301" s="74">
        <f t="shared" si="13"/>
        <v>0.25</v>
      </c>
      <c r="O301" s="74">
        <f t="shared" si="13"/>
        <v>0.18837209302325597</v>
      </c>
      <c r="P301" s="74">
        <f t="shared" si="13"/>
        <v>0.16219608879492586</v>
      </c>
      <c r="Q301" s="74">
        <f t="shared" si="13"/>
        <v>0.12418429342934312</v>
      </c>
    </row>
    <row r="312" spans="2:18" ht="15" x14ac:dyDescent="0.2">
      <c r="B312" s="69" t="s">
        <v>36</v>
      </c>
      <c r="E312" s="1" t="s">
        <v>13</v>
      </c>
      <c r="F312" s="1">
        <v>1</v>
      </c>
      <c r="G312" s="1">
        <v>2</v>
      </c>
      <c r="H312" s="1">
        <v>3</v>
      </c>
      <c r="I312" s="1">
        <v>4</v>
      </c>
      <c r="J312" s="1">
        <v>5</v>
      </c>
      <c r="K312" s="1">
        <v>10</v>
      </c>
      <c r="L312" s="1">
        <v>20</v>
      </c>
      <c r="M312" s="1">
        <v>30</v>
      </c>
      <c r="N312" s="1">
        <v>40</v>
      </c>
      <c r="O312" s="1">
        <v>50</v>
      </c>
      <c r="P312" s="1">
        <v>60</v>
      </c>
      <c r="Q312" s="1">
        <v>70</v>
      </c>
    </row>
    <row r="313" spans="2:18" ht="13.5" x14ac:dyDescent="0.2">
      <c r="E313" s="9" t="s">
        <v>6</v>
      </c>
      <c r="F313" s="42">
        <f t="shared" ref="F313:Q313" si="14">F321/2</f>
        <v>2.6666666666666665</v>
      </c>
      <c r="G313" s="42">
        <f t="shared" si="14"/>
        <v>4.5</v>
      </c>
      <c r="H313" s="43">
        <f t="shared" si="14"/>
        <v>6.1555555555555559</v>
      </c>
      <c r="I313" s="42">
        <f t="shared" si="14"/>
        <v>8.3333333333333339</v>
      </c>
      <c r="J313" s="42">
        <f t="shared" si="14"/>
        <v>10.377777777777776</v>
      </c>
      <c r="K313" s="43">
        <f t="shared" si="14"/>
        <v>16.866666666666664</v>
      </c>
      <c r="L313" s="42">
        <f t="shared" si="14"/>
        <v>24.966666666666661</v>
      </c>
      <c r="M313" s="42">
        <f t="shared" si="14"/>
        <v>32.033333333333331</v>
      </c>
      <c r="N313" s="43">
        <f t="shared" si="14"/>
        <v>39.088888888888889</v>
      </c>
      <c r="O313" s="42">
        <f t="shared" si="14"/>
        <v>46.55555555555555</v>
      </c>
      <c r="P313" s="42">
        <f t="shared" si="14"/>
        <v>53.811111111111103</v>
      </c>
      <c r="Q313" s="43">
        <f t="shared" si="14"/>
        <v>60.900000000000006</v>
      </c>
    </row>
    <row r="314" spans="2:18" ht="13.5" x14ac:dyDescent="0.2">
      <c r="E314" s="9" t="s">
        <v>7</v>
      </c>
      <c r="F314" s="42">
        <f t="shared" ref="F314:Q314" si="15">F322/2</f>
        <v>-2.4</v>
      </c>
      <c r="G314" s="42">
        <f t="shared" si="15"/>
        <v>-4.25</v>
      </c>
      <c r="H314" s="43">
        <f t="shared" si="15"/>
        <v>-6</v>
      </c>
      <c r="I314" s="42">
        <f t="shared" si="15"/>
        <v>-7.75</v>
      </c>
      <c r="J314" s="42">
        <f t="shared" si="15"/>
        <v>-9.5</v>
      </c>
      <c r="K314" s="43">
        <f t="shared" si="15"/>
        <v>-19.5</v>
      </c>
      <c r="L314" s="42">
        <f t="shared" si="15"/>
        <v>-40</v>
      </c>
      <c r="M314" s="42">
        <f t="shared" si="15"/>
        <v>-61</v>
      </c>
      <c r="N314" s="43">
        <f t="shared" si="15"/>
        <v>-82.5</v>
      </c>
      <c r="O314" s="42">
        <f t="shared" si="15"/>
        <v>-105</v>
      </c>
      <c r="P314" s="42">
        <f t="shared" si="15"/>
        <v>-128.5</v>
      </c>
      <c r="Q314" s="43">
        <f t="shared" si="15"/>
        <v>-152.5</v>
      </c>
    </row>
    <row r="317" spans="2:18" ht="13.5" x14ac:dyDescent="0.2">
      <c r="E317" s="9" t="s">
        <v>6</v>
      </c>
      <c r="F317" s="42">
        <v>5.333333333333333</v>
      </c>
      <c r="G317" s="42">
        <v>8.4444444444444446</v>
      </c>
      <c r="H317" s="43">
        <v>12.311111111111112</v>
      </c>
      <c r="I317" s="42">
        <v>16.666666666666668</v>
      </c>
      <c r="J317" s="42">
        <v>20.755555555555553</v>
      </c>
      <c r="K317" s="43">
        <v>33.733333333333327</v>
      </c>
      <c r="L317" s="42">
        <v>49.933333333333323</v>
      </c>
      <c r="M317" s="42">
        <v>64.066666666666663</v>
      </c>
      <c r="N317" s="43">
        <v>78.177777777777777</v>
      </c>
      <c r="O317" s="42">
        <v>93.1111111111111</v>
      </c>
      <c r="P317" s="42">
        <v>107.62222222222221</v>
      </c>
      <c r="Q317" s="43">
        <v>121.80000000000001</v>
      </c>
      <c r="R317" s="18" t="s">
        <v>35</v>
      </c>
    </row>
    <row r="318" spans="2:18" ht="13.5" x14ac:dyDescent="0.2">
      <c r="E318" s="9" t="s">
        <v>7</v>
      </c>
      <c r="F318" s="64">
        <v>-4.333333333333333</v>
      </c>
      <c r="G318" s="64">
        <v>-6.5111111111111111</v>
      </c>
      <c r="H318" s="65">
        <v>-9.4222222222222243</v>
      </c>
      <c r="I318" s="64">
        <v>-12.555555555555557</v>
      </c>
      <c r="J318" s="64">
        <v>-16.444444444444443</v>
      </c>
      <c r="K318" s="65">
        <v>-37.31111111111111</v>
      </c>
      <c r="L318" s="64">
        <v>-78.533333333333346</v>
      </c>
      <c r="M318" s="64">
        <v>-120.37777777777777</v>
      </c>
      <c r="N318" s="65">
        <v>-164.28888888888889</v>
      </c>
      <c r="O318" s="64">
        <v>-211.64444444444445</v>
      </c>
      <c r="P318" s="64">
        <v>-258.53333333333336</v>
      </c>
      <c r="Q318" s="65">
        <v>-306.06666666666666</v>
      </c>
      <c r="R318" s="18" t="s">
        <v>30</v>
      </c>
    </row>
    <row r="319" spans="2:18" ht="15" x14ac:dyDescent="0.2">
      <c r="E319" s="8" t="s">
        <v>9</v>
      </c>
      <c r="F319" s="45">
        <v>0.7</v>
      </c>
      <c r="G319" s="45">
        <v>0.52555555555555555</v>
      </c>
      <c r="H319" s="46">
        <v>0.50555555555555565</v>
      </c>
      <c r="I319" s="45">
        <v>0.51</v>
      </c>
      <c r="J319" s="45">
        <v>0.5311111111111112</v>
      </c>
      <c r="K319" s="46">
        <v>0.60333333333333339</v>
      </c>
      <c r="L319" s="45">
        <v>0.63555555555555565</v>
      </c>
      <c r="M319" s="45">
        <v>0.64777777777777779</v>
      </c>
      <c r="N319" s="46">
        <v>0.6644444444444445</v>
      </c>
      <c r="O319" s="45">
        <v>0.681111111111111</v>
      </c>
      <c r="P319" s="45">
        <v>0.69222222222222229</v>
      </c>
      <c r="Q319" s="46">
        <v>0.70444444444444443</v>
      </c>
      <c r="R319" t="s">
        <v>28</v>
      </c>
    </row>
    <row r="320" spans="2:18" ht="15" x14ac:dyDescent="0.2">
      <c r="B320" t="s">
        <v>21</v>
      </c>
      <c r="E320" s="1" t="s">
        <v>12</v>
      </c>
      <c r="F320" s="1">
        <v>1</v>
      </c>
      <c r="G320" s="1">
        <v>2</v>
      </c>
      <c r="H320" s="1">
        <v>3</v>
      </c>
      <c r="I320" s="1">
        <v>4</v>
      </c>
      <c r="J320" s="1">
        <v>5</v>
      </c>
      <c r="K320" s="1">
        <v>10</v>
      </c>
      <c r="L320" s="1">
        <v>20</v>
      </c>
      <c r="M320" s="1">
        <v>30</v>
      </c>
      <c r="N320" s="1">
        <v>40</v>
      </c>
      <c r="O320" s="1">
        <v>50</v>
      </c>
      <c r="P320" s="1">
        <v>60</v>
      </c>
      <c r="Q320" s="1">
        <v>70</v>
      </c>
    </row>
    <row r="321" spans="2:18" ht="13.5" x14ac:dyDescent="0.2">
      <c r="B321" s="18" t="s">
        <v>20</v>
      </c>
      <c r="E321" s="9" t="s">
        <v>6</v>
      </c>
      <c r="F321" s="64">
        <f>(F93+F157+F165+F213+F221+F229+F237+F245+F253)/9</f>
        <v>5.333333333333333</v>
      </c>
      <c r="G321" s="64">
        <v>9</v>
      </c>
      <c r="H321" s="65">
        <f t="shared" ref="H321:Q321" si="16">(H93+H157+H165+H213+H221+H229+H237+H245+H253)/9</f>
        <v>12.311111111111112</v>
      </c>
      <c r="I321" s="64">
        <f t="shared" si="16"/>
        <v>16.666666666666668</v>
      </c>
      <c r="J321" s="64">
        <f t="shared" si="16"/>
        <v>20.755555555555553</v>
      </c>
      <c r="K321" s="65">
        <f t="shared" si="16"/>
        <v>33.733333333333327</v>
      </c>
      <c r="L321" s="64">
        <f t="shared" si="16"/>
        <v>49.933333333333323</v>
      </c>
      <c r="M321" s="64">
        <f t="shared" si="16"/>
        <v>64.066666666666663</v>
      </c>
      <c r="N321" s="65">
        <f t="shared" si="16"/>
        <v>78.177777777777777</v>
      </c>
      <c r="O321" s="64">
        <f t="shared" si="16"/>
        <v>93.1111111111111</v>
      </c>
      <c r="P321" s="64">
        <f t="shared" si="16"/>
        <v>107.62222222222221</v>
      </c>
      <c r="Q321" s="65">
        <f t="shared" si="16"/>
        <v>121.80000000000001</v>
      </c>
    </row>
    <row r="322" spans="2:18" ht="13.5" x14ac:dyDescent="0.2">
      <c r="E322" s="9" t="s">
        <v>7</v>
      </c>
      <c r="F322" s="64">
        <v>-4.8</v>
      </c>
      <c r="G322" s="64">
        <v>-8.5</v>
      </c>
      <c r="H322" s="65">
        <v>-12</v>
      </c>
      <c r="I322" s="64">
        <v>-15.5</v>
      </c>
      <c r="J322" s="64">
        <v>-19</v>
      </c>
      <c r="K322" s="65">
        <v>-39</v>
      </c>
      <c r="L322" s="64">
        <v>-80</v>
      </c>
      <c r="M322" s="64">
        <v>-122</v>
      </c>
      <c r="N322" s="65">
        <v>-165</v>
      </c>
      <c r="O322" s="64">
        <v>-210</v>
      </c>
      <c r="P322" s="64">
        <v>-257</v>
      </c>
      <c r="Q322" s="65">
        <v>-305</v>
      </c>
      <c r="R322" s="63" t="s">
        <v>29</v>
      </c>
    </row>
    <row r="323" spans="2:18" ht="15" x14ac:dyDescent="0.2">
      <c r="E323" s="11" t="s">
        <v>8</v>
      </c>
      <c r="F323" s="44">
        <f>F322/F320</f>
        <v>-4.8</v>
      </c>
      <c r="G323" s="44">
        <f t="shared" ref="G323" si="17">G322/G320</f>
        <v>-4.25</v>
      </c>
      <c r="H323" s="44">
        <f t="shared" ref="H323" si="18">H322/H320</f>
        <v>-4</v>
      </c>
      <c r="I323" s="44">
        <f t="shared" ref="I323" si="19">I322/I320</f>
        <v>-3.875</v>
      </c>
      <c r="J323" s="44">
        <f t="shared" ref="J323" si="20">J322/J320</f>
        <v>-3.8</v>
      </c>
      <c r="K323" s="44">
        <f t="shared" ref="K323" si="21">K322/K320</f>
        <v>-3.9</v>
      </c>
      <c r="L323" s="44">
        <f t="shared" ref="L323" si="22">L322/L320</f>
        <v>-4</v>
      </c>
      <c r="M323" s="44">
        <f t="shared" ref="M323" si="23">M322/M320</f>
        <v>-4.0666666666666664</v>
      </c>
      <c r="N323" s="44">
        <f t="shared" ref="N323" si="24">N322/N320</f>
        <v>-4.125</v>
      </c>
      <c r="O323" s="44">
        <f t="shared" ref="O323" si="25">O322/O320</f>
        <v>-4.2</v>
      </c>
      <c r="P323" s="44">
        <f t="shared" ref="P323" si="26">P322/P320</f>
        <v>-4.2833333333333332</v>
      </c>
      <c r="Q323" s="44">
        <f t="shared" ref="Q323" si="27">Q322/Q320</f>
        <v>-4.3571428571428568</v>
      </c>
    </row>
    <row r="324" spans="2:18" ht="15" x14ac:dyDescent="0.2">
      <c r="B324" s="18" t="s">
        <v>33</v>
      </c>
      <c r="E324" s="8" t="s">
        <v>9</v>
      </c>
      <c r="F324" s="45">
        <f>SQRT(12*32.2*F323^2/(4*$F$281*($F$280*56)*$F$282^2))</f>
        <v>0.77543999738373293</v>
      </c>
      <c r="G324" s="45">
        <f t="shared" ref="G324" si="28">SQRT(12*32.2*G323^2/(4*$F$281*($F$280*56)*$F$282^2))</f>
        <v>0.68658749768351357</v>
      </c>
      <c r="H324" s="46">
        <f t="shared" ref="H324" si="29">SQRT(12*32.2*H323^2/(4*$F$281*($F$280*56)*$F$282^2))</f>
        <v>0.64619999781977744</v>
      </c>
      <c r="I324" s="45">
        <f t="shared" ref="I324" si="30">SQRT(12*32.2*I323^2/(4*$F$281*($F$280*56)*$F$282^2))</f>
        <v>0.62600624788790937</v>
      </c>
      <c r="J324" s="45">
        <f t="shared" ref="J324" si="31">SQRT(12*32.2*J323^2/(4*$F$281*($F$280*56)*$F$282^2))</f>
        <v>0.61388999792878851</v>
      </c>
      <c r="K324" s="46">
        <f t="shared" ref="K324" si="32">SQRT(12*32.2*K323^2/(4*$F$281*($F$280*56)*$F$282^2))</f>
        <v>0.63004499787428303</v>
      </c>
      <c r="L324" s="45">
        <f t="shared" ref="L324" si="33">SQRT(12*32.2*L323^2/(4*$F$281*($F$280*56)*$F$282^2))</f>
        <v>0.64619999781977744</v>
      </c>
      <c r="M324" s="45">
        <f t="shared" ref="M324" si="34">SQRT(12*32.2*M323^2/(4*$F$281*($F$280*56)*$F$282^2))</f>
        <v>0.65696999778344034</v>
      </c>
      <c r="N324" s="46">
        <f t="shared" ref="N324" si="35">SQRT(12*32.2*N323^2/(4*$F$281*($F$280*56)*$F$282^2))</f>
        <v>0.6663937477516455</v>
      </c>
      <c r="O324" s="45">
        <f t="shared" ref="O324" si="36">SQRT(12*32.2*O323^2/(4*$F$281*($F$280*56)*$F$282^2))</f>
        <v>0.67850999771076637</v>
      </c>
      <c r="P324" s="45">
        <f t="shared" ref="P324" si="37">SQRT(12*32.2*P323^2/(4*$F$281*($F$280*56)*$F$282^2))</f>
        <v>0.69197249766534497</v>
      </c>
      <c r="Q324" s="46">
        <f t="shared" ref="Q324" si="38">SQRT(12*32.2*Q323^2/(4*$F$281*($F$280*56)*$F$282^2))</f>
        <v>0.70389642619654325</v>
      </c>
      <c r="R324" s="75" t="s">
        <v>41</v>
      </c>
    </row>
    <row r="325" spans="2:18" ht="15" x14ac:dyDescent="0.2">
      <c r="B325" t="s">
        <v>31</v>
      </c>
      <c r="E325" s="14" t="s">
        <v>10</v>
      </c>
      <c r="F325" s="47">
        <f>(F322/F321)*-1</f>
        <v>0.9</v>
      </c>
      <c r="G325" s="47">
        <f t="shared" ref="G325:Q325" si="39">(G322/G321)*-1</f>
        <v>0.94444444444444442</v>
      </c>
      <c r="H325" s="48">
        <f t="shared" si="39"/>
        <v>0.97472924187725629</v>
      </c>
      <c r="I325" s="47">
        <f t="shared" si="39"/>
        <v>0.92999999999999994</v>
      </c>
      <c r="J325" s="47">
        <f t="shared" si="39"/>
        <v>0.91541755888650977</v>
      </c>
      <c r="K325" s="48">
        <f t="shared" si="39"/>
        <v>1.1561264822134389</v>
      </c>
      <c r="L325" s="47">
        <f t="shared" si="39"/>
        <v>1.6021361815754342</v>
      </c>
      <c r="M325" s="47">
        <f t="shared" si="39"/>
        <v>1.9042663891779397</v>
      </c>
      <c r="N325" s="48">
        <f t="shared" si="39"/>
        <v>2.1105741898806141</v>
      </c>
      <c r="O325" s="47">
        <f t="shared" si="39"/>
        <v>2.2553699284009547</v>
      </c>
      <c r="P325" s="47">
        <f t="shared" si="39"/>
        <v>2.3879826553788979</v>
      </c>
      <c r="Q325" s="48">
        <f t="shared" si="39"/>
        <v>2.5041050903119868</v>
      </c>
      <c r="R325" s="39"/>
    </row>
    <row r="326" spans="2:18" x14ac:dyDescent="0.2">
      <c r="B326" t="s">
        <v>32</v>
      </c>
    </row>
    <row r="327" spans="2:18" x14ac:dyDescent="0.2">
      <c r="B327" t="s">
        <v>34</v>
      </c>
      <c r="G327" s="58">
        <f>G324-F324</f>
        <v>-8.8852499700219356E-2</v>
      </c>
      <c r="H327" s="58">
        <f t="shared" ref="H327:Q328" si="40">H324-G324</f>
        <v>-4.0387499863736132E-2</v>
      </c>
      <c r="I327" s="66">
        <f t="shared" si="40"/>
        <v>-2.0193749931868066E-2</v>
      </c>
      <c r="J327" s="66">
        <f t="shared" si="40"/>
        <v>-1.2116249959120862E-2</v>
      </c>
      <c r="K327" s="66">
        <f t="shared" si="40"/>
        <v>1.6154999945494519E-2</v>
      </c>
      <c r="L327" s="66">
        <f t="shared" si="40"/>
        <v>1.6154999945494408E-2</v>
      </c>
      <c r="M327" s="66">
        <f t="shared" si="40"/>
        <v>1.0769999963662902E-2</v>
      </c>
      <c r="N327" s="66">
        <f t="shared" si="40"/>
        <v>9.423749968205164E-3</v>
      </c>
      <c r="O327" s="66">
        <f t="shared" si="40"/>
        <v>1.2116249959120862E-2</v>
      </c>
      <c r="P327" s="66">
        <f t="shared" si="40"/>
        <v>1.3462499954578599E-2</v>
      </c>
      <c r="Q327" s="66">
        <f t="shared" si="40"/>
        <v>1.192392853119828E-2</v>
      </c>
    </row>
    <row r="328" spans="2:18" x14ac:dyDescent="0.2">
      <c r="G328" s="67">
        <f>G325-F325</f>
        <v>4.4444444444444398E-2</v>
      </c>
      <c r="H328" s="67">
        <f t="shared" si="40"/>
        <v>3.0284797432811872E-2</v>
      </c>
      <c r="I328" s="68">
        <f t="shared" si="40"/>
        <v>-4.4729241877256354E-2</v>
      </c>
      <c r="J328" s="68">
        <f t="shared" si="40"/>
        <v>-1.4582441113490163E-2</v>
      </c>
      <c r="K328" s="68">
        <f t="shared" si="40"/>
        <v>0.24070892332692917</v>
      </c>
      <c r="L328" s="68">
        <f t="shared" si="40"/>
        <v>0.4460096993619953</v>
      </c>
      <c r="M328" s="68">
        <f t="shared" si="40"/>
        <v>0.30213020760250542</v>
      </c>
      <c r="N328" s="68">
        <f t="shared" si="40"/>
        <v>0.2063078007026744</v>
      </c>
      <c r="O328" s="68">
        <f t="shared" si="40"/>
        <v>0.14479573852034067</v>
      </c>
      <c r="P328" s="68">
        <f t="shared" si="40"/>
        <v>0.13261272697794313</v>
      </c>
      <c r="Q328" s="68">
        <f t="shared" si="40"/>
        <v>0.11612243493308894</v>
      </c>
    </row>
    <row r="341" spans="3:5" x14ac:dyDescent="0.2">
      <c r="C341">
        <v>1</v>
      </c>
      <c r="D341">
        <v>7</v>
      </c>
      <c r="E341">
        <f>F13</f>
        <v>7.2</v>
      </c>
    </row>
    <row r="342" spans="3:5" x14ac:dyDescent="0.2">
      <c r="C342">
        <v>2</v>
      </c>
      <c r="D342">
        <v>15</v>
      </c>
      <c r="E342">
        <f>F21</f>
        <v>6.4</v>
      </c>
    </row>
    <row r="343" spans="3:5" x14ac:dyDescent="0.2">
      <c r="C343">
        <v>3</v>
      </c>
      <c r="D343">
        <v>23</v>
      </c>
      <c r="E343">
        <v>0</v>
      </c>
    </row>
    <row r="344" spans="3:5" x14ac:dyDescent="0.2">
      <c r="C344">
        <v>4</v>
      </c>
      <c r="D344">
        <v>31</v>
      </c>
      <c r="E344">
        <f>F37</f>
        <v>7.4</v>
      </c>
    </row>
    <row r="345" spans="3:5" x14ac:dyDescent="0.2">
      <c r="C345">
        <v>5</v>
      </c>
      <c r="D345">
        <v>39</v>
      </c>
      <c r="E345">
        <f>F45</f>
        <v>5.2</v>
      </c>
    </row>
    <row r="346" spans="3:5" x14ac:dyDescent="0.2">
      <c r="C346">
        <v>6</v>
      </c>
      <c r="D346">
        <v>47</v>
      </c>
      <c r="E346">
        <f>F53</f>
        <v>6.4</v>
      </c>
    </row>
    <row r="347" spans="3:5" x14ac:dyDescent="0.2">
      <c r="C347">
        <v>7</v>
      </c>
      <c r="D347">
        <v>55</v>
      </c>
      <c r="E347">
        <f>F61</f>
        <v>5.4</v>
      </c>
    </row>
    <row r="348" spans="3:5" x14ac:dyDescent="0.2">
      <c r="C348">
        <v>8</v>
      </c>
      <c r="D348">
        <v>63</v>
      </c>
      <c r="E348">
        <v>0</v>
      </c>
    </row>
    <row r="349" spans="3:5" x14ac:dyDescent="0.2">
      <c r="C349">
        <v>9</v>
      </c>
      <c r="D349">
        <v>71</v>
      </c>
      <c r="E349">
        <f>F77</f>
        <v>5.8</v>
      </c>
    </row>
    <row r="350" spans="3:5" x14ac:dyDescent="0.2">
      <c r="C350">
        <v>10</v>
      </c>
      <c r="D350">
        <v>79</v>
      </c>
      <c r="E350">
        <f>F85</f>
        <v>6.2</v>
      </c>
    </row>
    <row r="351" spans="3:5" x14ac:dyDescent="0.2">
      <c r="C351">
        <v>11</v>
      </c>
      <c r="D351">
        <v>87</v>
      </c>
      <c r="E351">
        <f>F93</f>
        <v>7</v>
      </c>
    </row>
    <row r="352" spans="3:5" x14ac:dyDescent="0.2">
      <c r="C352">
        <v>12</v>
      </c>
      <c r="D352">
        <v>95</v>
      </c>
      <c r="E352">
        <f>F101</f>
        <v>5.4</v>
      </c>
    </row>
    <row r="353" spans="3:5" x14ac:dyDescent="0.2">
      <c r="C353">
        <v>13</v>
      </c>
      <c r="D353">
        <v>103</v>
      </c>
      <c r="E353">
        <f>F109</f>
        <v>6.4</v>
      </c>
    </row>
    <row r="354" spans="3:5" x14ac:dyDescent="0.2">
      <c r="C354">
        <v>14</v>
      </c>
      <c r="D354">
        <v>111</v>
      </c>
      <c r="E354">
        <f>F117</f>
        <v>6.2</v>
      </c>
    </row>
    <row r="355" spans="3:5" x14ac:dyDescent="0.2">
      <c r="C355">
        <v>15</v>
      </c>
      <c r="D355">
        <v>119</v>
      </c>
      <c r="E355">
        <f>F125</f>
        <v>6</v>
      </c>
    </row>
    <row r="356" spans="3:5" x14ac:dyDescent="0.2">
      <c r="C356">
        <v>16</v>
      </c>
      <c r="D356">
        <v>127</v>
      </c>
      <c r="E356">
        <f>F133</f>
        <v>6.8</v>
      </c>
    </row>
    <row r="357" spans="3:5" x14ac:dyDescent="0.2">
      <c r="C357">
        <v>17</v>
      </c>
      <c r="D357">
        <v>135</v>
      </c>
      <c r="E357">
        <f>F141</f>
        <v>5.4</v>
      </c>
    </row>
    <row r="358" spans="3:5" x14ac:dyDescent="0.2">
      <c r="C358">
        <v>18</v>
      </c>
      <c r="D358">
        <v>143</v>
      </c>
      <c r="E358">
        <f>F149</f>
        <v>6.2</v>
      </c>
    </row>
    <row r="359" spans="3:5" x14ac:dyDescent="0.2">
      <c r="C359">
        <v>19</v>
      </c>
      <c r="D359">
        <v>151</v>
      </c>
      <c r="E359">
        <f>F157</f>
        <v>6.6</v>
      </c>
    </row>
    <row r="360" spans="3:5" x14ac:dyDescent="0.2">
      <c r="C360">
        <v>20</v>
      </c>
      <c r="D360">
        <v>159</v>
      </c>
      <c r="E360">
        <f>F165</f>
        <v>6.2</v>
      </c>
    </row>
    <row r="361" spans="3:5" x14ac:dyDescent="0.2">
      <c r="C361">
        <v>21</v>
      </c>
      <c r="D361">
        <v>167</v>
      </c>
      <c r="E361">
        <f>F173</f>
        <v>6</v>
      </c>
    </row>
    <row r="362" spans="3:5" x14ac:dyDescent="0.2">
      <c r="C362">
        <v>22</v>
      </c>
      <c r="D362">
        <v>175</v>
      </c>
      <c r="E362">
        <f>F181</f>
        <v>4.4000000000000004</v>
      </c>
    </row>
    <row r="363" spans="3:5" x14ac:dyDescent="0.2">
      <c r="C363">
        <v>23</v>
      </c>
      <c r="D363">
        <v>183</v>
      </c>
      <c r="E363">
        <f>F189</f>
        <v>5.4</v>
      </c>
    </row>
    <row r="364" spans="3:5" x14ac:dyDescent="0.2">
      <c r="C364">
        <v>24</v>
      </c>
      <c r="D364">
        <v>191</v>
      </c>
      <c r="E364">
        <f>F197</f>
        <v>4.8</v>
      </c>
    </row>
    <row r="365" spans="3:5" x14ac:dyDescent="0.2">
      <c r="C365">
        <v>25</v>
      </c>
      <c r="D365">
        <v>199</v>
      </c>
      <c r="E365">
        <f>F205</f>
        <v>4.5999999999999996</v>
      </c>
    </row>
    <row r="366" spans="3:5" x14ac:dyDescent="0.2">
      <c r="C366">
        <v>26</v>
      </c>
      <c r="D366">
        <v>207</v>
      </c>
      <c r="E366">
        <f>F213</f>
        <v>4.5999999999999996</v>
      </c>
    </row>
    <row r="367" spans="3:5" x14ac:dyDescent="0.2">
      <c r="C367">
        <v>27</v>
      </c>
      <c r="D367">
        <v>215</v>
      </c>
      <c r="E367">
        <f>F221</f>
        <v>4.8</v>
      </c>
    </row>
    <row r="368" spans="3:5" x14ac:dyDescent="0.2">
      <c r="C368">
        <v>28</v>
      </c>
      <c r="D368">
        <v>223</v>
      </c>
      <c r="E368">
        <f>F229</f>
        <v>4.8</v>
      </c>
    </row>
    <row r="369" spans="3:5" x14ac:dyDescent="0.2">
      <c r="C369">
        <v>29</v>
      </c>
      <c r="D369">
        <v>231</v>
      </c>
      <c r="E369">
        <f>F237</f>
        <v>5.2</v>
      </c>
    </row>
    <row r="370" spans="3:5" x14ac:dyDescent="0.2">
      <c r="C370">
        <v>30</v>
      </c>
      <c r="D370">
        <v>239</v>
      </c>
      <c r="E370">
        <f>F245</f>
        <v>4.4000000000000004</v>
      </c>
    </row>
    <row r="371" spans="3:5" x14ac:dyDescent="0.2">
      <c r="C371">
        <v>31</v>
      </c>
      <c r="D371">
        <v>247</v>
      </c>
      <c r="E371">
        <f>F253</f>
        <v>4.4000000000000004</v>
      </c>
    </row>
    <row r="372" spans="3:5" x14ac:dyDescent="0.2">
      <c r="C372">
        <v>32</v>
      </c>
      <c r="D372">
        <v>255</v>
      </c>
      <c r="E372">
        <f>F261</f>
        <v>4.5999999999999996</v>
      </c>
    </row>
    <row r="373" spans="3:5" x14ac:dyDescent="0.2">
      <c r="C373">
        <v>33</v>
      </c>
      <c r="D373">
        <v>263</v>
      </c>
      <c r="E373">
        <f>F269</f>
        <v>4.4000000000000004</v>
      </c>
    </row>
    <row r="374" spans="3:5" x14ac:dyDescent="0.2">
      <c r="E374" s="39">
        <f>SUM(E341:E373)/31</f>
        <v>5.6322580645161295</v>
      </c>
    </row>
  </sheetData>
  <mergeCells count="133">
    <mergeCell ref="B74:Q75"/>
    <mergeCell ref="C76:C81"/>
    <mergeCell ref="D76:D81"/>
    <mergeCell ref="B82:Q83"/>
    <mergeCell ref="F12:Q12"/>
    <mergeCell ref="F20:Q20"/>
    <mergeCell ref="F28:Q28"/>
    <mergeCell ref="F36:Q36"/>
    <mergeCell ref="F44:Q44"/>
    <mergeCell ref="F52:Q52"/>
    <mergeCell ref="B50:Q51"/>
    <mergeCell ref="C52:C57"/>
    <mergeCell ref="D52:D57"/>
    <mergeCell ref="C12:C17"/>
    <mergeCell ref="D12:D17"/>
    <mergeCell ref="B18:Q19"/>
    <mergeCell ref="C20:C25"/>
    <mergeCell ref="D20:D25"/>
    <mergeCell ref="B26:Q27"/>
    <mergeCell ref="C28:C33"/>
    <mergeCell ref="F60:Q60"/>
    <mergeCell ref="F68:Q68"/>
    <mergeCell ref="F76:Q76"/>
    <mergeCell ref="B58:Q59"/>
    <mergeCell ref="C60:C65"/>
    <mergeCell ref="D60:D65"/>
    <mergeCell ref="B66:Q67"/>
    <mergeCell ref="C68:C73"/>
    <mergeCell ref="D68:D73"/>
    <mergeCell ref="D28:D33"/>
    <mergeCell ref="B34:Q35"/>
    <mergeCell ref="C36:C41"/>
    <mergeCell ref="D36:D41"/>
    <mergeCell ref="B42:Q43"/>
    <mergeCell ref="C44:C49"/>
    <mergeCell ref="D44:D49"/>
    <mergeCell ref="C100:C105"/>
    <mergeCell ref="D100:D105"/>
    <mergeCell ref="B106:Q107"/>
    <mergeCell ref="C108:C113"/>
    <mergeCell ref="D108:D113"/>
    <mergeCell ref="B114:Q115"/>
    <mergeCell ref="C84:C89"/>
    <mergeCell ref="D84:D89"/>
    <mergeCell ref="B90:Q91"/>
    <mergeCell ref="C92:C97"/>
    <mergeCell ref="D92:D97"/>
    <mergeCell ref="B98:Q99"/>
    <mergeCell ref="F84:Q84"/>
    <mergeCell ref="F92:Q92"/>
    <mergeCell ref="F100:Q100"/>
    <mergeCell ref="F108:Q108"/>
    <mergeCell ref="C132:C137"/>
    <mergeCell ref="D132:D137"/>
    <mergeCell ref="B138:Q139"/>
    <mergeCell ref="C140:C145"/>
    <mergeCell ref="D140:D145"/>
    <mergeCell ref="B146:Q147"/>
    <mergeCell ref="C116:C121"/>
    <mergeCell ref="D116:D121"/>
    <mergeCell ref="B122:Q123"/>
    <mergeCell ref="C124:C129"/>
    <mergeCell ref="D124:D129"/>
    <mergeCell ref="B130:Q131"/>
    <mergeCell ref="F116:Q116"/>
    <mergeCell ref="F124:Q124"/>
    <mergeCell ref="F132:Q132"/>
    <mergeCell ref="F140:Q140"/>
    <mergeCell ref="C164:C169"/>
    <mergeCell ref="D164:D169"/>
    <mergeCell ref="B170:Q171"/>
    <mergeCell ref="C172:C177"/>
    <mergeCell ref="D172:D177"/>
    <mergeCell ref="B178:Q179"/>
    <mergeCell ref="C148:C153"/>
    <mergeCell ref="D148:D153"/>
    <mergeCell ref="B154:Q155"/>
    <mergeCell ref="C156:C161"/>
    <mergeCell ref="D156:D161"/>
    <mergeCell ref="B162:Q163"/>
    <mergeCell ref="F156:Q156"/>
    <mergeCell ref="F164:Q164"/>
    <mergeCell ref="F172:Q172"/>
    <mergeCell ref="F148:Q148"/>
    <mergeCell ref="C196:C201"/>
    <mergeCell ref="D196:D201"/>
    <mergeCell ref="B202:Q203"/>
    <mergeCell ref="C204:C209"/>
    <mergeCell ref="D204:D209"/>
    <mergeCell ref="B210:Q211"/>
    <mergeCell ref="C180:C185"/>
    <mergeCell ref="D180:D185"/>
    <mergeCell ref="B186:Q187"/>
    <mergeCell ref="C188:C193"/>
    <mergeCell ref="D188:D193"/>
    <mergeCell ref="B194:Q195"/>
    <mergeCell ref="F204:Q204"/>
    <mergeCell ref="F180:Q180"/>
    <mergeCell ref="F188:Q188"/>
    <mergeCell ref="F196:Q196"/>
    <mergeCell ref="C228:C233"/>
    <mergeCell ref="D228:D233"/>
    <mergeCell ref="B234:Q235"/>
    <mergeCell ref="C236:C241"/>
    <mergeCell ref="D236:D241"/>
    <mergeCell ref="B242:Q243"/>
    <mergeCell ref="C212:C217"/>
    <mergeCell ref="D212:D217"/>
    <mergeCell ref="B218:Q219"/>
    <mergeCell ref="C220:C225"/>
    <mergeCell ref="D220:D225"/>
    <mergeCell ref="B226:Q227"/>
    <mergeCell ref="F220:Q220"/>
    <mergeCell ref="F228:Q228"/>
    <mergeCell ref="F236:Q236"/>
    <mergeCell ref="F212:Q212"/>
    <mergeCell ref="B277:Q277"/>
    <mergeCell ref="C260:C265"/>
    <mergeCell ref="D260:D265"/>
    <mergeCell ref="B266:Q267"/>
    <mergeCell ref="C268:C273"/>
    <mergeCell ref="D268:D273"/>
    <mergeCell ref="B274:Q275"/>
    <mergeCell ref="C244:C249"/>
    <mergeCell ref="D244:D249"/>
    <mergeCell ref="B250:Q251"/>
    <mergeCell ref="C252:C257"/>
    <mergeCell ref="D252:D257"/>
    <mergeCell ref="B258:Q259"/>
    <mergeCell ref="F252:Q252"/>
    <mergeCell ref="F260:Q260"/>
    <mergeCell ref="F268:Q268"/>
    <mergeCell ref="F244:Q244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R227"/>
  <sheetViews>
    <sheetView showGridLines="0" zoomScale="90" zoomScaleNormal="90" workbookViewId="0"/>
  </sheetViews>
  <sheetFormatPr defaultRowHeight="12.75" x14ac:dyDescent="0.2"/>
  <cols>
    <col min="2" max="2" width="11.7109375" customWidth="1"/>
  </cols>
  <sheetData>
    <row r="1" spans="1:17" x14ac:dyDescent="0.2">
      <c r="A1" t="s">
        <v>15</v>
      </c>
      <c r="J1" s="57" t="s">
        <v>95</v>
      </c>
    </row>
    <row r="2" spans="1:17" x14ac:dyDescent="0.2">
      <c r="A2" s="18" t="s">
        <v>90</v>
      </c>
      <c r="J2" s="57" t="s">
        <v>97</v>
      </c>
    </row>
    <row r="3" spans="1:17" x14ac:dyDescent="0.2">
      <c r="A3" s="18" t="s">
        <v>89</v>
      </c>
    </row>
    <row r="4" spans="1:17" x14ac:dyDescent="0.2">
      <c r="B4" s="54" t="s">
        <v>91</v>
      </c>
    </row>
    <row r="5" spans="1:17" x14ac:dyDescent="0.2">
      <c r="A5" s="54"/>
      <c r="B5" s="87" t="s">
        <v>96</v>
      </c>
    </row>
    <row r="6" spans="1:17" x14ac:dyDescent="0.2">
      <c r="A6" s="54"/>
      <c r="B6" s="54" t="s">
        <v>92</v>
      </c>
    </row>
    <row r="7" spans="1:17" x14ac:dyDescent="0.2">
      <c r="A7" s="54"/>
      <c r="B7" s="54" t="s">
        <v>93</v>
      </c>
    </row>
    <row r="8" spans="1:17" x14ac:dyDescent="0.2">
      <c r="A8" s="54"/>
      <c r="B8" s="87" t="s">
        <v>98</v>
      </c>
    </row>
    <row r="10" spans="1:17" x14ac:dyDescent="0.2">
      <c r="A10" s="56" t="s">
        <v>18</v>
      </c>
    </row>
    <row r="11" spans="1:17" ht="15" x14ac:dyDescent="0.2">
      <c r="B11" s="1" t="s">
        <v>0</v>
      </c>
      <c r="C11" s="1" t="s">
        <v>1</v>
      </c>
      <c r="D11" s="2" t="s">
        <v>2</v>
      </c>
      <c r="E11" s="1"/>
      <c r="F11" s="1">
        <v>1</v>
      </c>
      <c r="G11" s="1">
        <v>2</v>
      </c>
      <c r="H11" s="1">
        <v>3</v>
      </c>
      <c r="I11" s="1">
        <v>4</v>
      </c>
      <c r="J11" s="1">
        <v>5</v>
      </c>
      <c r="K11" s="1">
        <v>10</v>
      </c>
      <c r="L11" s="1">
        <v>20</v>
      </c>
      <c r="M11" s="1">
        <v>30</v>
      </c>
      <c r="N11" s="1">
        <v>40</v>
      </c>
      <c r="O11" s="1">
        <v>50</v>
      </c>
      <c r="P11" s="1">
        <v>60</v>
      </c>
      <c r="Q11" s="1">
        <v>70</v>
      </c>
    </row>
    <row r="12" spans="1:17" ht="15" customHeight="1" x14ac:dyDescent="0.2">
      <c r="B12" s="3">
        <v>1573</v>
      </c>
      <c r="C12" s="89"/>
      <c r="D12" s="92"/>
      <c r="E12" s="8" t="s">
        <v>4</v>
      </c>
      <c r="F12" s="110" t="s">
        <v>5</v>
      </c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2"/>
    </row>
    <row r="13" spans="1:17" ht="15" x14ac:dyDescent="0.2">
      <c r="B13" s="4" t="s">
        <v>11</v>
      </c>
      <c r="C13" s="90"/>
      <c r="D13" s="93"/>
      <c r="E13" s="9" t="s">
        <v>6</v>
      </c>
      <c r="F13" s="9">
        <v>10.8</v>
      </c>
      <c r="G13" s="9">
        <v>13.2</v>
      </c>
      <c r="H13" s="10">
        <v>15.2</v>
      </c>
      <c r="I13" s="9">
        <v>17.2</v>
      </c>
      <c r="J13" s="9">
        <v>18.399999999999999</v>
      </c>
      <c r="K13" s="10">
        <v>23.2</v>
      </c>
      <c r="L13" s="9">
        <v>31.6</v>
      </c>
      <c r="M13" s="9">
        <v>40.4</v>
      </c>
      <c r="N13" s="10">
        <v>50.6</v>
      </c>
      <c r="O13" s="9">
        <v>62</v>
      </c>
      <c r="P13" s="9">
        <v>73.2</v>
      </c>
      <c r="Q13" s="10">
        <v>85.4</v>
      </c>
    </row>
    <row r="14" spans="1:17" ht="15" x14ac:dyDescent="0.2">
      <c r="B14" s="5">
        <v>41501</v>
      </c>
      <c r="C14" s="90"/>
      <c r="D14" s="93"/>
      <c r="E14" s="9" t="s">
        <v>7</v>
      </c>
      <c r="F14" s="9">
        <v>-9.1999999999999993</v>
      </c>
      <c r="G14" s="9">
        <v>-16.600000000000001</v>
      </c>
      <c r="H14" s="10">
        <v>-22.8</v>
      </c>
      <c r="I14" s="9">
        <v>-28</v>
      </c>
      <c r="J14" s="9">
        <v>-32.799999999999997</v>
      </c>
      <c r="K14" s="10">
        <v>-54</v>
      </c>
      <c r="L14" s="9">
        <v>-92.6</v>
      </c>
      <c r="M14" s="9">
        <v>-131.19999999999999</v>
      </c>
      <c r="N14" s="10">
        <v>-172.2</v>
      </c>
      <c r="O14" s="9">
        <v>-214.6</v>
      </c>
      <c r="P14" s="9">
        <v>-256.2</v>
      </c>
      <c r="Q14" s="10">
        <v>-297.39999999999998</v>
      </c>
    </row>
    <row r="15" spans="1:17" ht="15" x14ac:dyDescent="0.2">
      <c r="B15" s="6"/>
      <c r="C15" s="90"/>
      <c r="D15" s="93"/>
      <c r="E15" s="11" t="s">
        <v>8</v>
      </c>
      <c r="F15" s="12">
        <v>-9.1999999999999993</v>
      </c>
      <c r="G15" s="12">
        <v>-8.3000000000000007</v>
      </c>
      <c r="H15" s="12">
        <v>-7.6</v>
      </c>
      <c r="I15" s="12">
        <v>-7</v>
      </c>
      <c r="J15" s="12">
        <v>-6.6</v>
      </c>
      <c r="K15" s="12">
        <v>-5.4</v>
      </c>
      <c r="L15" s="12">
        <v>-4.5999999999999996</v>
      </c>
      <c r="M15" s="12">
        <v>-4.4000000000000004</v>
      </c>
      <c r="N15" s="12">
        <v>-4.3</v>
      </c>
      <c r="O15" s="12">
        <v>-4.3</v>
      </c>
      <c r="P15" s="12">
        <v>-4.3</v>
      </c>
      <c r="Q15" s="12">
        <v>-4.2</v>
      </c>
    </row>
    <row r="16" spans="1:17" ht="15" x14ac:dyDescent="0.2">
      <c r="B16" s="6"/>
      <c r="C16" s="90"/>
      <c r="D16" s="93"/>
      <c r="E16" s="8" t="s">
        <v>9</v>
      </c>
      <c r="F16" s="8">
        <v>1.49</v>
      </c>
      <c r="G16" s="8">
        <v>1.34</v>
      </c>
      <c r="H16" s="13">
        <v>1.23</v>
      </c>
      <c r="I16" s="8">
        <v>1.1299999999999999</v>
      </c>
      <c r="J16" s="8">
        <v>1.07</v>
      </c>
      <c r="K16" s="13">
        <v>0.87</v>
      </c>
      <c r="L16" s="8">
        <v>0.74</v>
      </c>
      <c r="M16" s="8">
        <v>0.71</v>
      </c>
      <c r="N16" s="13">
        <v>0.69</v>
      </c>
      <c r="O16" s="8">
        <v>0.69</v>
      </c>
      <c r="P16" s="8">
        <v>0.69</v>
      </c>
      <c r="Q16" s="13">
        <v>0.68</v>
      </c>
    </row>
    <row r="17" spans="2:17" ht="15" x14ac:dyDescent="0.2">
      <c r="B17" s="7"/>
      <c r="C17" s="91"/>
      <c r="D17" s="94"/>
      <c r="E17" s="14" t="s">
        <v>10</v>
      </c>
      <c r="F17" s="14">
        <v>0.9</v>
      </c>
      <c r="G17" s="14">
        <v>1.3</v>
      </c>
      <c r="H17" s="15">
        <v>1.5</v>
      </c>
      <c r="I17" s="14">
        <v>1.6</v>
      </c>
      <c r="J17" s="14">
        <v>1.8</v>
      </c>
      <c r="K17" s="15">
        <v>2.2999999999999998</v>
      </c>
      <c r="L17" s="14">
        <v>2.9</v>
      </c>
      <c r="M17" s="14">
        <v>3.2</v>
      </c>
      <c r="N17" s="15">
        <v>3.4</v>
      </c>
      <c r="O17" s="14">
        <v>3.5</v>
      </c>
      <c r="P17" s="14">
        <v>3.5</v>
      </c>
      <c r="Q17" s="15">
        <v>3.5</v>
      </c>
    </row>
    <row r="18" spans="2:17" x14ac:dyDescent="0.2">
      <c r="B18" s="95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7"/>
    </row>
    <row r="19" spans="2:17" x14ac:dyDescent="0.2">
      <c r="B19" s="98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100"/>
    </row>
    <row r="20" spans="2:17" ht="15" customHeight="1" x14ac:dyDescent="0.2">
      <c r="B20" s="29">
        <v>1575</v>
      </c>
      <c r="C20" s="101"/>
      <c r="D20" s="104"/>
      <c r="E20" s="30" t="s">
        <v>4</v>
      </c>
      <c r="F20" s="107" t="s">
        <v>5</v>
      </c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9"/>
    </row>
    <row r="21" spans="2:17" ht="15" x14ac:dyDescent="0.2">
      <c r="B21" s="31" t="s">
        <v>3</v>
      </c>
      <c r="C21" s="102"/>
      <c r="D21" s="105"/>
      <c r="E21" s="32" t="s">
        <v>6</v>
      </c>
      <c r="F21" s="32">
        <v>12.6</v>
      </c>
      <c r="G21" s="32">
        <v>15.6</v>
      </c>
      <c r="H21" s="32">
        <v>19.2</v>
      </c>
      <c r="I21" s="32">
        <v>22.6</v>
      </c>
      <c r="J21" s="32">
        <v>26.8</v>
      </c>
      <c r="K21" s="32">
        <v>44.8</v>
      </c>
      <c r="L21" s="32">
        <v>64.8</v>
      </c>
      <c r="M21" s="32">
        <v>81.2</v>
      </c>
      <c r="N21" s="32">
        <v>96.8</v>
      </c>
      <c r="O21" s="32">
        <v>114.2</v>
      </c>
      <c r="P21" s="32">
        <v>130.19999999999999</v>
      </c>
      <c r="Q21" s="32">
        <v>146.19999999999999</v>
      </c>
    </row>
    <row r="22" spans="2:17" ht="15" x14ac:dyDescent="0.2">
      <c r="B22" s="33">
        <v>41503</v>
      </c>
      <c r="C22" s="102"/>
      <c r="D22" s="105"/>
      <c r="E22" s="32" t="s">
        <v>7</v>
      </c>
      <c r="F22" s="32">
        <v>-3.6</v>
      </c>
      <c r="G22" s="32">
        <v>-5.4</v>
      </c>
      <c r="H22" s="32">
        <v>-7.6</v>
      </c>
      <c r="I22" s="32">
        <v>-10.4</v>
      </c>
      <c r="J22" s="32">
        <v>-13.6</v>
      </c>
      <c r="K22" s="32">
        <v>-34.799999999999997</v>
      </c>
      <c r="L22" s="32">
        <v>-79.400000000000006</v>
      </c>
      <c r="M22" s="32">
        <v>-125.2</v>
      </c>
      <c r="N22" s="32">
        <v>-176.4</v>
      </c>
      <c r="O22" s="32">
        <v>-231.4</v>
      </c>
      <c r="P22" s="32">
        <v>-280.60000000000002</v>
      </c>
      <c r="Q22" s="32">
        <v>-328.8</v>
      </c>
    </row>
    <row r="23" spans="2:17" ht="15" x14ac:dyDescent="0.2">
      <c r="B23" s="34"/>
      <c r="C23" s="102"/>
      <c r="D23" s="105"/>
      <c r="E23" s="35" t="s">
        <v>8</v>
      </c>
      <c r="F23" s="36">
        <v>-3.6</v>
      </c>
      <c r="G23" s="36">
        <v>-2.7</v>
      </c>
      <c r="H23" s="36">
        <v>-2.5</v>
      </c>
      <c r="I23" s="36">
        <v>-2.6</v>
      </c>
      <c r="J23" s="36">
        <v>-2.7</v>
      </c>
      <c r="K23" s="36">
        <v>-3.5</v>
      </c>
      <c r="L23" s="36">
        <v>-4</v>
      </c>
      <c r="M23" s="36">
        <v>-4.2</v>
      </c>
      <c r="N23" s="36">
        <v>-4.4000000000000004</v>
      </c>
      <c r="O23" s="36">
        <v>-4.5999999999999996</v>
      </c>
      <c r="P23" s="36">
        <v>-4.7</v>
      </c>
      <c r="Q23" s="36">
        <v>-4.7</v>
      </c>
    </row>
    <row r="24" spans="2:17" ht="15" x14ac:dyDescent="0.2">
      <c r="B24" s="34"/>
      <c r="C24" s="102"/>
      <c r="D24" s="105"/>
      <c r="E24" s="30" t="s">
        <v>9</v>
      </c>
      <c r="F24" s="30">
        <v>0.57999999999999996</v>
      </c>
      <c r="G24" s="30">
        <v>0.44</v>
      </c>
      <c r="H24" s="30">
        <v>0.4</v>
      </c>
      <c r="I24" s="30">
        <v>0.42</v>
      </c>
      <c r="J24" s="30">
        <v>0.44</v>
      </c>
      <c r="K24" s="30">
        <v>0.56999999999999995</v>
      </c>
      <c r="L24" s="30">
        <v>0.65</v>
      </c>
      <c r="M24" s="30">
        <v>0.68</v>
      </c>
      <c r="N24" s="30">
        <v>0.71</v>
      </c>
      <c r="O24" s="30">
        <v>0.74</v>
      </c>
      <c r="P24" s="30">
        <v>0.76</v>
      </c>
      <c r="Q24" s="30">
        <v>0.76</v>
      </c>
    </row>
    <row r="25" spans="2:17" ht="15" x14ac:dyDescent="0.2">
      <c r="B25" s="37"/>
      <c r="C25" s="103"/>
      <c r="D25" s="106"/>
      <c r="E25" s="38" t="s">
        <v>10</v>
      </c>
      <c r="F25" s="38">
        <v>0.3</v>
      </c>
      <c r="G25" s="38">
        <v>0.3</v>
      </c>
      <c r="H25" s="38">
        <v>0.4</v>
      </c>
      <c r="I25" s="38">
        <v>0.5</v>
      </c>
      <c r="J25" s="38">
        <v>0.5</v>
      </c>
      <c r="K25" s="38">
        <v>0.8</v>
      </c>
      <c r="L25" s="38">
        <v>1.2</v>
      </c>
      <c r="M25" s="38">
        <v>1.5</v>
      </c>
      <c r="N25" s="38">
        <v>1.8</v>
      </c>
      <c r="O25" s="38">
        <v>2</v>
      </c>
      <c r="P25" s="38">
        <v>2.2000000000000002</v>
      </c>
      <c r="Q25" s="38">
        <v>2.2000000000000002</v>
      </c>
    </row>
    <row r="26" spans="2:17" x14ac:dyDescent="0.2">
      <c r="B26" s="95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</row>
    <row r="27" spans="2:17" x14ac:dyDescent="0.2">
      <c r="B27" s="98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100"/>
    </row>
    <row r="28" spans="2:17" ht="15" customHeight="1" x14ac:dyDescent="0.2">
      <c r="B28" s="29">
        <v>1576</v>
      </c>
      <c r="C28" s="101"/>
      <c r="D28" s="104"/>
      <c r="E28" s="30" t="s">
        <v>4</v>
      </c>
      <c r="F28" s="107" t="s">
        <v>5</v>
      </c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9"/>
    </row>
    <row r="29" spans="2:17" ht="15" x14ac:dyDescent="0.2">
      <c r="B29" s="31" t="s">
        <v>3</v>
      </c>
      <c r="C29" s="102"/>
      <c r="D29" s="105"/>
      <c r="E29" s="32" t="s">
        <v>6</v>
      </c>
      <c r="F29" s="32">
        <v>14.6</v>
      </c>
      <c r="G29" s="32">
        <v>18.600000000000001</v>
      </c>
      <c r="H29" s="32">
        <v>22.4</v>
      </c>
      <c r="I29" s="32">
        <v>26.4</v>
      </c>
      <c r="J29" s="32">
        <v>30.8</v>
      </c>
      <c r="K29" s="32">
        <v>46.2</v>
      </c>
      <c r="L29" s="32">
        <v>66.599999999999994</v>
      </c>
      <c r="M29" s="32">
        <v>84.6</v>
      </c>
      <c r="N29" s="32">
        <v>102.2</v>
      </c>
      <c r="O29" s="32">
        <v>120.8</v>
      </c>
      <c r="P29" s="32">
        <v>138.6</v>
      </c>
      <c r="Q29" s="32">
        <v>155</v>
      </c>
    </row>
    <row r="30" spans="2:17" ht="15" x14ac:dyDescent="0.2">
      <c r="B30" s="33">
        <v>41503</v>
      </c>
      <c r="C30" s="102"/>
      <c r="D30" s="105"/>
      <c r="E30" s="32" t="s">
        <v>7</v>
      </c>
      <c r="F30" s="32">
        <v>-7.8</v>
      </c>
      <c r="G30" s="32">
        <v>-13.8</v>
      </c>
      <c r="H30" s="32">
        <v>-19.8</v>
      </c>
      <c r="I30" s="32">
        <v>-26.4</v>
      </c>
      <c r="J30" s="32">
        <v>-31.8</v>
      </c>
      <c r="K30" s="32">
        <v>-58.8</v>
      </c>
      <c r="L30" s="32">
        <v>-107</v>
      </c>
      <c r="M30" s="32">
        <v>-152.4</v>
      </c>
      <c r="N30" s="32">
        <v>-200.2</v>
      </c>
      <c r="O30" s="32">
        <v>-241.6</v>
      </c>
      <c r="P30" s="32">
        <v>-286.8</v>
      </c>
      <c r="Q30" s="32">
        <v>-329</v>
      </c>
    </row>
    <row r="31" spans="2:17" ht="15" x14ac:dyDescent="0.2">
      <c r="B31" s="34"/>
      <c r="C31" s="102"/>
      <c r="D31" s="105"/>
      <c r="E31" s="35" t="s">
        <v>8</v>
      </c>
      <c r="F31" s="36">
        <v>-7.8</v>
      </c>
      <c r="G31" s="36">
        <v>-6.9</v>
      </c>
      <c r="H31" s="36">
        <v>-6.6</v>
      </c>
      <c r="I31" s="36">
        <v>-6.6</v>
      </c>
      <c r="J31" s="36">
        <v>-6.4</v>
      </c>
      <c r="K31" s="36">
        <v>-5.9</v>
      </c>
      <c r="L31" s="36">
        <v>-5.4</v>
      </c>
      <c r="M31" s="36">
        <v>-5.0999999999999996</v>
      </c>
      <c r="N31" s="36">
        <v>-5</v>
      </c>
      <c r="O31" s="36">
        <v>-4.8</v>
      </c>
      <c r="P31" s="36">
        <v>-4.8</v>
      </c>
      <c r="Q31" s="36">
        <v>-4.7</v>
      </c>
    </row>
    <row r="32" spans="2:17" ht="15" x14ac:dyDescent="0.2">
      <c r="B32" s="34"/>
      <c r="C32" s="102"/>
      <c r="D32" s="105"/>
      <c r="E32" s="30" t="s">
        <v>9</v>
      </c>
      <c r="F32" s="30">
        <v>1.26</v>
      </c>
      <c r="G32" s="30">
        <v>1.1100000000000001</v>
      </c>
      <c r="H32" s="30">
        <v>1.07</v>
      </c>
      <c r="I32" s="30">
        <v>1.07</v>
      </c>
      <c r="J32" s="30">
        <v>1.03</v>
      </c>
      <c r="K32" s="30">
        <v>0.95</v>
      </c>
      <c r="L32" s="30">
        <v>0.87</v>
      </c>
      <c r="M32" s="30">
        <v>0.82</v>
      </c>
      <c r="N32" s="30">
        <v>0.81</v>
      </c>
      <c r="O32" s="30">
        <v>0.78</v>
      </c>
      <c r="P32" s="30">
        <v>0.78</v>
      </c>
      <c r="Q32" s="30">
        <v>0.76</v>
      </c>
    </row>
    <row r="33" spans="2:17" ht="15" x14ac:dyDescent="0.2">
      <c r="B33" s="37"/>
      <c r="C33" s="103"/>
      <c r="D33" s="106"/>
      <c r="E33" s="38" t="s">
        <v>10</v>
      </c>
      <c r="F33" s="38">
        <v>0.5</v>
      </c>
      <c r="G33" s="38">
        <v>0.7</v>
      </c>
      <c r="H33" s="38">
        <v>0.9</v>
      </c>
      <c r="I33" s="38">
        <v>1</v>
      </c>
      <c r="J33" s="38">
        <v>1</v>
      </c>
      <c r="K33" s="38">
        <v>1.3</v>
      </c>
      <c r="L33" s="38">
        <v>1.6</v>
      </c>
      <c r="M33" s="38">
        <v>1.8</v>
      </c>
      <c r="N33" s="38">
        <v>2</v>
      </c>
      <c r="O33" s="38">
        <v>2</v>
      </c>
      <c r="P33" s="38">
        <v>2.1</v>
      </c>
      <c r="Q33" s="38">
        <v>2.1</v>
      </c>
    </row>
    <row r="34" spans="2:17" x14ac:dyDescent="0.2">
      <c r="B34" s="95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2:17" x14ac:dyDescent="0.2">
      <c r="B35" s="98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100"/>
    </row>
    <row r="36" spans="2:17" ht="15" customHeight="1" x14ac:dyDescent="0.2">
      <c r="B36" s="3">
        <v>1644</v>
      </c>
      <c r="C36" s="89"/>
      <c r="D36" s="92"/>
      <c r="E36" s="8" t="s">
        <v>4</v>
      </c>
      <c r="F36" s="110" t="s">
        <v>5</v>
      </c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2"/>
    </row>
    <row r="37" spans="2:17" ht="14.25" customHeight="1" x14ac:dyDescent="0.2">
      <c r="B37" s="4" t="s">
        <v>11</v>
      </c>
      <c r="C37" s="90"/>
      <c r="D37" s="93"/>
      <c r="E37" s="9" t="s">
        <v>6</v>
      </c>
      <c r="F37" s="9">
        <v>9.8000000000000007</v>
      </c>
      <c r="G37" s="9">
        <v>12.6</v>
      </c>
      <c r="H37" s="10">
        <v>14.2</v>
      </c>
      <c r="I37" s="9">
        <v>15.4</v>
      </c>
      <c r="J37" s="9">
        <v>16</v>
      </c>
      <c r="K37" s="10">
        <v>20</v>
      </c>
      <c r="L37" s="9">
        <v>27.4</v>
      </c>
      <c r="M37" s="9">
        <v>35.6</v>
      </c>
      <c r="N37" s="10">
        <v>45.2</v>
      </c>
      <c r="O37" s="9">
        <v>55</v>
      </c>
      <c r="P37" s="9">
        <v>66.400000000000006</v>
      </c>
      <c r="Q37" s="10">
        <v>77.400000000000006</v>
      </c>
    </row>
    <row r="38" spans="2:17" ht="15" x14ac:dyDescent="0.2">
      <c r="B38" s="5">
        <v>41626</v>
      </c>
      <c r="C38" s="90"/>
      <c r="D38" s="93"/>
      <c r="E38" s="9" t="s">
        <v>7</v>
      </c>
      <c r="F38" s="9">
        <v>-5.8</v>
      </c>
      <c r="G38" s="9">
        <v>-8</v>
      </c>
      <c r="H38" s="10">
        <v>-10.6</v>
      </c>
      <c r="I38" s="9">
        <v>-13.4</v>
      </c>
      <c r="J38" s="9">
        <v>-17</v>
      </c>
      <c r="K38" s="10">
        <v>-35</v>
      </c>
      <c r="L38" s="9">
        <v>-72.599999999999994</v>
      </c>
      <c r="M38" s="9">
        <v>-108</v>
      </c>
      <c r="N38" s="10">
        <v>-143.80000000000001</v>
      </c>
      <c r="O38" s="9">
        <v>-181.4</v>
      </c>
      <c r="P38" s="9">
        <v>-217.8</v>
      </c>
      <c r="Q38" s="10">
        <v>-255.4</v>
      </c>
    </row>
    <row r="39" spans="2:17" ht="15" x14ac:dyDescent="0.2">
      <c r="B39" s="6"/>
      <c r="C39" s="90"/>
      <c r="D39" s="93"/>
      <c r="E39" s="11" t="s">
        <v>8</v>
      </c>
      <c r="F39" s="12">
        <v>-5.8</v>
      </c>
      <c r="G39" s="12">
        <v>-4</v>
      </c>
      <c r="H39" s="12">
        <v>-3.5</v>
      </c>
      <c r="I39" s="12">
        <v>-3.4</v>
      </c>
      <c r="J39" s="12">
        <v>-3.4</v>
      </c>
      <c r="K39" s="12">
        <v>-3.5</v>
      </c>
      <c r="L39" s="12">
        <v>-3.6</v>
      </c>
      <c r="M39" s="12">
        <v>-3.6</v>
      </c>
      <c r="N39" s="12">
        <v>-3.6</v>
      </c>
      <c r="O39" s="12">
        <v>-3.6</v>
      </c>
      <c r="P39" s="12">
        <v>-3.6</v>
      </c>
      <c r="Q39" s="12">
        <v>-3.6</v>
      </c>
    </row>
    <row r="40" spans="2:17" ht="15" x14ac:dyDescent="0.2">
      <c r="B40" s="6"/>
      <c r="C40" s="90"/>
      <c r="D40" s="93"/>
      <c r="E40" s="8" t="s">
        <v>9</v>
      </c>
      <c r="F40" s="8">
        <v>0.94</v>
      </c>
      <c r="G40" s="8">
        <v>0.65</v>
      </c>
      <c r="H40" s="13">
        <v>0.56999999999999995</v>
      </c>
      <c r="I40" s="8">
        <v>0.55000000000000004</v>
      </c>
      <c r="J40" s="8">
        <v>0.55000000000000004</v>
      </c>
      <c r="K40" s="13">
        <v>0.56999999999999995</v>
      </c>
      <c r="L40" s="8">
        <v>0.57999999999999996</v>
      </c>
      <c r="M40" s="8">
        <v>0.57999999999999996</v>
      </c>
      <c r="N40" s="13">
        <v>0.57999999999999996</v>
      </c>
      <c r="O40" s="8">
        <v>0.57999999999999996</v>
      </c>
      <c r="P40" s="8">
        <v>0.57999999999999996</v>
      </c>
      <c r="Q40" s="13">
        <v>0.57999999999999996</v>
      </c>
    </row>
    <row r="41" spans="2:17" ht="15" x14ac:dyDescent="0.2">
      <c r="B41" s="7"/>
      <c r="C41" s="91"/>
      <c r="D41" s="94"/>
      <c r="E41" s="14" t="s">
        <v>10</v>
      </c>
      <c r="F41" s="14">
        <v>0.6</v>
      </c>
      <c r="G41" s="14">
        <v>0.6</v>
      </c>
      <c r="H41" s="15">
        <v>0.7</v>
      </c>
      <c r="I41" s="14">
        <v>0.9</v>
      </c>
      <c r="J41" s="14">
        <v>1.1000000000000001</v>
      </c>
      <c r="K41" s="15">
        <v>1.8</v>
      </c>
      <c r="L41" s="14">
        <v>2.6</v>
      </c>
      <c r="M41" s="14">
        <v>3</v>
      </c>
      <c r="N41" s="15">
        <v>3.2</v>
      </c>
      <c r="O41" s="14">
        <v>3.3</v>
      </c>
      <c r="P41" s="14">
        <v>3.3</v>
      </c>
      <c r="Q41" s="15">
        <v>3.3</v>
      </c>
    </row>
    <row r="42" spans="2:17" x14ac:dyDescent="0.2">
      <c r="B42" s="95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7"/>
    </row>
    <row r="43" spans="2:17" x14ac:dyDescent="0.2">
      <c r="B43" s="98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100"/>
    </row>
    <row r="44" spans="2:17" ht="15" customHeight="1" x14ac:dyDescent="0.2">
      <c r="B44" s="29">
        <v>1678</v>
      </c>
      <c r="C44" s="101"/>
      <c r="D44" s="104"/>
      <c r="E44" s="30" t="s">
        <v>4</v>
      </c>
      <c r="F44" s="107" t="s">
        <v>5</v>
      </c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9"/>
    </row>
    <row r="45" spans="2:17" ht="15" x14ac:dyDescent="0.2">
      <c r="B45" s="31" t="s">
        <v>3</v>
      </c>
      <c r="C45" s="102"/>
      <c r="D45" s="105"/>
      <c r="E45" s="32" t="s">
        <v>6</v>
      </c>
      <c r="F45" s="32">
        <v>11.2</v>
      </c>
      <c r="G45" s="32">
        <v>15.2</v>
      </c>
      <c r="H45" s="32">
        <v>20.2</v>
      </c>
      <c r="I45" s="32">
        <v>24.8</v>
      </c>
      <c r="J45" s="32">
        <v>30.2</v>
      </c>
      <c r="K45" s="32">
        <v>51.8</v>
      </c>
      <c r="L45" s="32">
        <v>76.400000000000006</v>
      </c>
      <c r="M45" s="32">
        <v>96.6</v>
      </c>
      <c r="N45" s="32">
        <v>115.6</v>
      </c>
      <c r="O45" s="32">
        <v>135.80000000000001</v>
      </c>
      <c r="P45" s="32">
        <v>154</v>
      </c>
      <c r="Q45" s="32">
        <v>171.4</v>
      </c>
    </row>
    <row r="46" spans="2:17" ht="15" x14ac:dyDescent="0.2">
      <c r="B46" s="33">
        <v>41686</v>
      </c>
      <c r="C46" s="102"/>
      <c r="D46" s="105"/>
      <c r="E46" s="32" t="s">
        <v>7</v>
      </c>
      <c r="F46" s="32">
        <v>-3.8</v>
      </c>
      <c r="G46" s="32">
        <v>-5.4</v>
      </c>
      <c r="H46" s="32">
        <v>-7.6</v>
      </c>
      <c r="I46" s="32">
        <v>-11</v>
      </c>
      <c r="J46" s="32">
        <v>-14.4</v>
      </c>
      <c r="K46" s="32">
        <v>-38.6</v>
      </c>
      <c r="L46" s="32">
        <v>-82.6</v>
      </c>
      <c r="M46" s="32">
        <v>-127.8</v>
      </c>
      <c r="N46" s="32">
        <v>-178.2</v>
      </c>
      <c r="O46" s="32">
        <v>-233.4</v>
      </c>
      <c r="P46" s="32">
        <v>-282.39999999999998</v>
      </c>
      <c r="Q46" s="32">
        <v>-330</v>
      </c>
    </row>
    <row r="47" spans="2:17" ht="15" x14ac:dyDescent="0.2">
      <c r="B47" s="34"/>
      <c r="C47" s="102"/>
      <c r="D47" s="105"/>
      <c r="E47" s="35" t="s">
        <v>8</v>
      </c>
      <c r="F47" s="36">
        <v>-3.8</v>
      </c>
      <c r="G47" s="36">
        <v>-2.7</v>
      </c>
      <c r="H47" s="36">
        <v>-2.5</v>
      </c>
      <c r="I47" s="36">
        <v>-2.8</v>
      </c>
      <c r="J47" s="36">
        <v>-2.9</v>
      </c>
      <c r="K47" s="36">
        <v>-3.9</v>
      </c>
      <c r="L47" s="36">
        <v>-4.0999999999999996</v>
      </c>
      <c r="M47" s="36">
        <v>-4.3</v>
      </c>
      <c r="N47" s="36">
        <v>-4.5</v>
      </c>
      <c r="O47" s="36">
        <v>-4.7</v>
      </c>
      <c r="P47" s="36">
        <v>-4.7</v>
      </c>
      <c r="Q47" s="36">
        <v>-4.7</v>
      </c>
    </row>
    <row r="48" spans="2:17" ht="15" x14ac:dyDescent="0.2">
      <c r="B48" s="34"/>
      <c r="C48" s="102"/>
      <c r="D48" s="105"/>
      <c r="E48" s="30" t="s">
        <v>9</v>
      </c>
      <c r="F48" s="30">
        <v>0.61</v>
      </c>
      <c r="G48" s="30">
        <v>0.44</v>
      </c>
      <c r="H48" s="30">
        <v>0.4</v>
      </c>
      <c r="I48" s="30">
        <v>0.45</v>
      </c>
      <c r="J48" s="30">
        <v>0.47</v>
      </c>
      <c r="K48" s="30">
        <v>0.63</v>
      </c>
      <c r="L48" s="30">
        <v>0.66</v>
      </c>
      <c r="M48" s="30">
        <v>0.69</v>
      </c>
      <c r="N48" s="30">
        <v>0.73</v>
      </c>
      <c r="O48" s="30">
        <v>0.76</v>
      </c>
      <c r="P48" s="30">
        <v>0.76</v>
      </c>
      <c r="Q48" s="30">
        <v>0.76</v>
      </c>
    </row>
    <row r="49" spans="2:17" ht="15" x14ac:dyDescent="0.2">
      <c r="B49" s="37"/>
      <c r="C49" s="103"/>
      <c r="D49" s="106"/>
      <c r="E49" s="38" t="s">
        <v>10</v>
      </c>
      <c r="F49" s="38">
        <v>0.3</v>
      </c>
      <c r="G49" s="38">
        <v>0.4</v>
      </c>
      <c r="H49" s="38">
        <v>0.4</v>
      </c>
      <c r="I49" s="38">
        <v>0.4</v>
      </c>
      <c r="J49" s="38">
        <v>0.5</v>
      </c>
      <c r="K49" s="38">
        <v>0.7</v>
      </c>
      <c r="L49" s="38">
        <v>1.1000000000000001</v>
      </c>
      <c r="M49" s="38">
        <v>1.3</v>
      </c>
      <c r="N49" s="38">
        <v>1.5</v>
      </c>
      <c r="O49" s="38">
        <v>1.7</v>
      </c>
      <c r="P49" s="38">
        <v>1.8</v>
      </c>
      <c r="Q49" s="38">
        <v>1.9</v>
      </c>
    </row>
    <row r="50" spans="2:17" x14ac:dyDescent="0.2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7"/>
    </row>
    <row r="51" spans="2:17" x14ac:dyDescent="0.2">
      <c r="B51" s="98"/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100"/>
    </row>
    <row r="52" spans="2:17" ht="15" customHeight="1" x14ac:dyDescent="0.2">
      <c r="B52" s="29">
        <v>1679</v>
      </c>
      <c r="C52" s="101"/>
      <c r="D52" s="104"/>
      <c r="E52" s="30" t="s">
        <v>4</v>
      </c>
      <c r="F52" s="107" t="s">
        <v>5</v>
      </c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9"/>
    </row>
    <row r="53" spans="2:17" ht="15" x14ac:dyDescent="0.2">
      <c r="B53" s="31" t="s">
        <v>3</v>
      </c>
      <c r="C53" s="102"/>
      <c r="D53" s="105"/>
      <c r="E53" s="32" t="s">
        <v>6</v>
      </c>
      <c r="F53" s="32">
        <v>15.4</v>
      </c>
      <c r="G53" s="32">
        <v>20.6</v>
      </c>
      <c r="H53" s="32">
        <v>24.8</v>
      </c>
      <c r="I53" s="32">
        <v>29.8</v>
      </c>
      <c r="J53" s="32">
        <v>34.6</v>
      </c>
      <c r="K53" s="32">
        <v>59.6</v>
      </c>
      <c r="L53" s="32">
        <v>90.2</v>
      </c>
      <c r="M53" s="32">
        <v>112.7</v>
      </c>
      <c r="N53" s="32">
        <v>135.19999999999999</v>
      </c>
      <c r="O53" s="32">
        <v>156.6</v>
      </c>
      <c r="P53" s="32">
        <v>175.6</v>
      </c>
      <c r="Q53" s="32">
        <v>193.6</v>
      </c>
    </row>
    <row r="54" spans="2:17" ht="15" x14ac:dyDescent="0.2">
      <c r="B54" s="33">
        <v>41686</v>
      </c>
      <c r="C54" s="102"/>
      <c r="D54" s="105"/>
      <c r="E54" s="32" t="s">
        <v>7</v>
      </c>
      <c r="F54" s="32">
        <v>-7.4</v>
      </c>
      <c r="G54" s="32">
        <v>-15.6</v>
      </c>
      <c r="H54" s="32">
        <v>-23.4</v>
      </c>
      <c r="I54" s="32">
        <v>-29.8</v>
      </c>
      <c r="J54" s="32">
        <v>-36.799999999999997</v>
      </c>
      <c r="K54" s="32">
        <v>-63.2</v>
      </c>
      <c r="L54" s="32">
        <v>-111</v>
      </c>
      <c r="M54" s="32">
        <v>-156.6</v>
      </c>
      <c r="N54" s="32">
        <v>-202.8</v>
      </c>
      <c r="O54" s="32">
        <v>-248.4</v>
      </c>
      <c r="P54" s="32">
        <v>-293.60000000000002</v>
      </c>
      <c r="Q54" s="32">
        <v>-333.6</v>
      </c>
    </row>
    <row r="55" spans="2:17" ht="15" x14ac:dyDescent="0.2">
      <c r="B55" s="34"/>
      <c r="C55" s="102"/>
      <c r="D55" s="105"/>
      <c r="E55" s="35" t="s">
        <v>8</v>
      </c>
      <c r="F55" s="36">
        <v>-7.4</v>
      </c>
      <c r="G55" s="36">
        <v>-7.8</v>
      </c>
      <c r="H55" s="36">
        <v>-7.8</v>
      </c>
      <c r="I55" s="36">
        <v>-7.5</v>
      </c>
      <c r="J55" s="36">
        <v>-7.4</v>
      </c>
      <c r="K55" s="36">
        <v>-6.3</v>
      </c>
      <c r="L55" s="36">
        <v>-5.6</v>
      </c>
      <c r="M55" s="36">
        <v>-5.2</v>
      </c>
      <c r="N55" s="36">
        <v>-5.0999999999999996</v>
      </c>
      <c r="O55" s="36">
        <v>-5</v>
      </c>
      <c r="P55" s="36">
        <v>-4.9000000000000004</v>
      </c>
      <c r="Q55" s="36">
        <v>-4.8</v>
      </c>
    </row>
    <row r="56" spans="2:17" ht="15" x14ac:dyDescent="0.2">
      <c r="B56" s="34"/>
      <c r="C56" s="102"/>
      <c r="D56" s="105"/>
      <c r="E56" s="30" t="s">
        <v>9</v>
      </c>
      <c r="F56" s="30">
        <v>1.2</v>
      </c>
      <c r="G56" s="30">
        <v>1.26</v>
      </c>
      <c r="H56" s="30">
        <v>1.26</v>
      </c>
      <c r="I56" s="30">
        <v>1.21</v>
      </c>
      <c r="J56" s="30">
        <v>1.2</v>
      </c>
      <c r="K56" s="30">
        <v>1.02</v>
      </c>
      <c r="L56" s="30">
        <v>0.9</v>
      </c>
      <c r="M56" s="30">
        <v>0.84</v>
      </c>
      <c r="N56" s="30">
        <v>0.82</v>
      </c>
      <c r="O56" s="30">
        <v>0.81</v>
      </c>
      <c r="P56" s="30">
        <v>0.79</v>
      </c>
      <c r="Q56" s="30">
        <v>0.78</v>
      </c>
    </row>
    <row r="57" spans="2:17" ht="15" x14ac:dyDescent="0.2">
      <c r="B57" s="37"/>
      <c r="C57" s="103"/>
      <c r="D57" s="106"/>
      <c r="E57" s="38" t="s">
        <v>10</v>
      </c>
      <c r="F57" s="38">
        <v>0.5</v>
      </c>
      <c r="G57" s="38">
        <v>0.8</v>
      </c>
      <c r="H57" s="38">
        <v>0.9</v>
      </c>
      <c r="I57" s="38">
        <v>1</v>
      </c>
      <c r="J57" s="38">
        <v>1.1000000000000001</v>
      </c>
      <c r="K57" s="38">
        <v>1.1000000000000001</v>
      </c>
      <c r="L57" s="38">
        <v>1.2</v>
      </c>
      <c r="M57" s="38">
        <v>1.4</v>
      </c>
      <c r="N57" s="38">
        <v>1.5</v>
      </c>
      <c r="O57" s="38">
        <v>1.6</v>
      </c>
      <c r="P57" s="38">
        <v>1.7</v>
      </c>
      <c r="Q57" s="38">
        <v>1.7</v>
      </c>
    </row>
    <row r="58" spans="2:17" x14ac:dyDescent="0.2">
      <c r="B58" s="95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7"/>
    </row>
    <row r="59" spans="2:17" x14ac:dyDescent="0.2">
      <c r="B59" s="98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100"/>
    </row>
    <row r="60" spans="2:17" ht="15" customHeight="1" x14ac:dyDescent="0.2">
      <c r="B60" s="29">
        <v>1949</v>
      </c>
      <c r="C60" s="101"/>
      <c r="D60" s="104"/>
      <c r="E60" s="30" t="s">
        <v>4</v>
      </c>
      <c r="F60" s="107" t="s">
        <v>5</v>
      </c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9"/>
    </row>
    <row r="61" spans="2:17" ht="15" x14ac:dyDescent="0.2">
      <c r="B61" s="31" t="s">
        <v>3</v>
      </c>
      <c r="C61" s="102"/>
      <c r="D61" s="105"/>
      <c r="E61" s="32" t="s">
        <v>6</v>
      </c>
      <c r="F61" s="32">
        <v>10.8</v>
      </c>
      <c r="G61" s="32">
        <v>12.2</v>
      </c>
      <c r="H61" s="32">
        <v>13.6</v>
      </c>
      <c r="I61" s="32">
        <v>15</v>
      </c>
      <c r="J61" s="32">
        <v>16.2</v>
      </c>
      <c r="K61" s="32">
        <v>21.4</v>
      </c>
      <c r="L61" s="32">
        <v>31.2</v>
      </c>
      <c r="M61" s="32">
        <v>41.2</v>
      </c>
      <c r="N61" s="32">
        <v>53</v>
      </c>
      <c r="O61" s="32">
        <v>65</v>
      </c>
      <c r="P61" s="32">
        <v>77.8</v>
      </c>
      <c r="Q61" s="32">
        <v>90</v>
      </c>
    </row>
    <row r="62" spans="2:17" ht="15" x14ac:dyDescent="0.2">
      <c r="B62" s="33">
        <v>42114</v>
      </c>
      <c r="C62" s="102"/>
      <c r="D62" s="105"/>
      <c r="E62" s="32" t="s">
        <v>7</v>
      </c>
      <c r="F62" s="32">
        <v>-7.6</v>
      </c>
      <c r="G62" s="32">
        <v>-15.6</v>
      </c>
      <c r="H62" s="32">
        <v>-24</v>
      </c>
      <c r="I62" s="32">
        <v>-31.4</v>
      </c>
      <c r="J62" s="32">
        <v>-38.6</v>
      </c>
      <c r="K62" s="32">
        <v>-68.400000000000006</v>
      </c>
      <c r="L62" s="32">
        <v>-120.2</v>
      </c>
      <c r="M62" s="32">
        <v>-173.4</v>
      </c>
      <c r="N62" s="32">
        <v>-226.6</v>
      </c>
      <c r="O62" s="32">
        <v>-281.39999999999998</v>
      </c>
      <c r="P62" s="32">
        <v>-334.4</v>
      </c>
      <c r="Q62" s="32">
        <v>-388.8</v>
      </c>
    </row>
    <row r="63" spans="2:17" ht="15" x14ac:dyDescent="0.2">
      <c r="B63" s="34"/>
      <c r="C63" s="102"/>
      <c r="D63" s="105"/>
      <c r="E63" s="35" t="s">
        <v>8</v>
      </c>
      <c r="F63" s="36">
        <v>-7.6</v>
      </c>
      <c r="G63" s="36">
        <v>-7.8</v>
      </c>
      <c r="H63" s="36">
        <v>-8</v>
      </c>
      <c r="I63" s="36">
        <v>-7.9</v>
      </c>
      <c r="J63" s="36">
        <v>-7.7</v>
      </c>
      <c r="K63" s="36">
        <v>-6.8</v>
      </c>
      <c r="L63" s="36">
        <v>-6</v>
      </c>
      <c r="M63" s="36">
        <v>-5.8</v>
      </c>
      <c r="N63" s="36">
        <v>-5.7</v>
      </c>
      <c r="O63" s="36">
        <v>-5.6</v>
      </c>
      <c r="P63" s="36">
        <v>-5.6</v>
      </c>
      <c r="Q63" s="36">
        <v>-5.6</v>
      </c>
    </row>
    <row r="64" spans="2:17" ht="15" x14ac:dyDescent="0.2">
      <c r="B64" s="34"/>
      <c r="C64" s="102"/>
      <c r="D64" s="105"/>
      <c r="E64" s="30" t="s">
        <v>9</v>
      </c>
      <c r="F64" s="30">
        <v>1.23</v>
      </c>
      <c r="G64" s="30">
        <v>1.26</v>
      </c>
      <c r="H64" s="30">
        <v>1.29</v>
      </c>
      <c r="I64" s="30">
        <v>1.28</v>
      </c>
      <c r="J64" s="30">
        <v>1.24</v>
      </c>
      <c r="K64" s="30">
        <v>1.1000000000000001</v>
      </c>
      <c r="L64" s="30">
        <v>0.97</v>
      </c>
      <c r="M64" s="30">
        <v>0.94</v>
      </c>
      <c r="N64" s="30">
        <v>0.92</v>
      </c>
      <c r="O64" s="30">
        <v>0.9</v>
      </c>
      <c r="P64" s="30">
        <v>0.9</v>
      </c>
      <c r="Q64" s="30">
        <v>0.9</v>
      </c>
    </row>
    <row r="65" spans="2:17" ht="15" x14ac:dyDescent="0.2">
      <c r="B65" s="37"/>
      <c r="C65" s="103"/>
      <c r="D65" s="106"/>
      <c r="E65" s="38" t="s">
        <v>10</v>
      </c>
      <c r="F65" s="38">
        <v>0.7</v>
      </c>
      <c r="G65" s="38">
        <v>1.3</v>
      </c>
      <c r="H65" s="38">
        <v>1.8</v>
      </c>
      <c r="I65" s="38">
        <v>2.1</v>
      </c>
      <c r="J65" s="38">
        <v>2.4</v>
      </c>
      <c r="K65" s="38">
        <v>3.2</v>
      </c>
      <c r="L65" s="38">
        <v>3.9</v>
      </c>
      <c r="M65" s="38">
        <v>4.2</v>
      </c>
      <c r="N65" s="38">
        <v>4.3</v>
      </c>
      <c r="O65" s="38">
        <v>4.3</v>
      </c>
      <c r="P65" s="38">
        <v>4.3</v>
      </c>
      <c r="Q65" s="38">
        <v>4.3</v>
      </c>
    </row>
    <row r="66" spans="2:17" x14ac:dyDescent="0.2">
      <c r="B66" s="95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7"/>
    </row>
    <row r="67" spans="2:17" x14ac:dyDescent="0.2">
      <c r="B67" s="98"/>
      <c r="C67" s="99"/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/>
      <c r="P67" s="99"/>
      <c r="Q67" s="100"/>
    </row>
    <row r="68" spans="2:17" ht="15" customHeight="1" x14ac:dyDescent="0.2">
      <c r="B68" s="29">
        <v>1950</v>
      </c>
      <c r="C68" s="101"/>
      <c r="D68" s="104"/>
      <c r="E68" s="30" t="s">
        <v>4</v>
      </c>
      <c r="F68" s="107" t="s">
        <v>5</v>
      </c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9"/>
    </row>
    <row r="69" spans="2:17" ht="15" x14ac:dyDescent="0.2">
      <c r="B69" s="31" t="s">
        <v>3</v>
      </c>
      <c r="C69" s="102"/>
      <c r="D69" s="105"/>
      <c r="E69" s="32" t="s">
        <v>6</v>
      </c>
      <c r="F69" s="32">
        <v>12.4</v>
      </c>
      <c r="G69" s="32">
        <v>14.2</v>
      </c>
      <c r="H69" s="32">
        <v>16</v>
      </c>
      <c r="I69" s="32">
        <v>17.399999999999999</v>
      </c>
      <c r="J69" s="32">
        <v>19</v>
      </c>
      <c r="K69" s="32">
        <v>24.6</v>
      </c>
      <c r="L69" s="32">
        <v>35.200000000000003</v>
      </c>
      <c r="M69" s="32">
        <v>46.6</v>
      </c>
      <c r="N69" s="32">
        <v>58</v>
      </c>
      <c r="O69" s="32">
        <v>70.400000000000006</v>
      </c>
      <c r="P69" s="32">
        <v>83.2</v>
      </c>
      <c r="Q69" s="32">
        <v>96</v>
      </c>
    </row>
    <row r="70" spans="2:17" ht="15" x14ac:dyDescent="0.2">
      <c r="B70" s="33">
        <v>42114</v>
      </c>
      <c r="C70" s="102"/>
      <c r="D70" s="105"/>
      <c r="E70" s="32" t="s">
        <v>7</v>
      </c>
      <c r="F70" s="32">
        <v>-4.8</v>
      </c>
      <c r="G70" s="32">
        <v>-8.1999999999999993</v>
      </c>
      <c r="H70" s="32">
        <v>-12.4</v>
      </c>
      <c r="I70" s="32">
        <v>-18</v>
      </c>
      <c r="J70" s="32">
        <v>-22.8</v>
      </c>
      <c r="K70" s="32">
        <v>-48.4</v>
      </c>
      <c r="L70" s="32">
        <v>-94.6</v>
      </c>
      <c r="M70" s="32">
        <v>-141.6</v>
      </c>
      <c r="N70" s="32">
        <v>-192</v>
      </c>
      <c r="O70" s="32">
        <v>-244.6</v>
      </c>
      <c r="P70" s="32">
        <v>-294.39999999999998</v>
      </c>
      <c r="Q70" s="32">
        <v>-345.8</v>
      </c>
    </row>
    <row r="71" spans="2:17" ht="15" x14ac:dyDescent="0.2">
      <c r="B71" s="34"/>
      <c r="C71" s="102"/>
      <c r="D71" s="105"/>
      <c r="E71" s="35" t="s">
        <v>8</v>
      </c>
      <c r="F71" s="36">
        <v>-4.8</v>
      </c>
      <c r="G71" s="36">
        <v>-4.0999999999999996</v>
      </c>
      <c r="H71" s="36">
        <v>-4.0999999999999996</v>
      </c>
      <c r="I71" s="36">
        <v>-4.5</v>
      </c>
      <c r="J71" s="36">
        <v>-4.5999999999999996</v>
      </c>
      <c r="K71" s="36">
        <v>-4.8</v>
      </c>
      <c r="L71" s="36">
        <v>-4.7</v>
      </c>
      <c r="M71" s="36">
        <v>-4.7</v>
      </c>
      <c r="N71" s="36">
        <v>-4.8</v>
      </c>
      <c r="O71" s="36">
        <v>-4.9000000000000004</v>
      </c>
      <c r="P71" s="36">
        <v>-4.9000000000000004</v>
      </c>
      <c r="Q71" s="36">
        <v>-4.9000000000000004</v>
      </c>
    </row>
    <row r="72" spans="2:17" ht="15" x14ac:dyDescent="0.2">
      <c r="B72" s="34"/>
      <c r="C72" s="102"/>
      <c r="D72" s="105"/>
      <c r="E72" s="30" t="s">
        <v>9</v>
      </c>
      <c r="F72" s="30">
        <v>0.78</v>
      </c>
      <c r="G72" s="30">
        <v>0.66</v>
      </c>
      <c r="H72" s="30">
        <v>0.66</v>
      </c>
      <c r="I72" s="30">
        <v>0.73</v>
      </c>
      <c r="J72" s="30">
        <v>0.74</v>
      </c>
      <c r="K72" s="30">
        <v>0.78</v>
      </c>
      <c r="L72" s="30">
        <v>0.76</v>
      </c>
      <c r="M72" s="30">
        <v>0.76</v>
      </c>
      <c r="N72" s="30">
        <v>0.78</v>
      </c>
      <c r="O72" s="30">
        <v>0.79</v>
      </c>
      <c r="P72" s="30">
        <v>0.79</v>
      </c>
      <c r="Q72" s="30">
        <v>0.79</v>
      </c>
    </row>
    <row r="73" spans="2:17" ht="15" x14ac:dyDescent="0.2">
      <c r="B73" s="37"/>
      <c r="C73" s="103"/>
      <c r="D73" s="106"/>
      <c r="E73" s="38" t="s">
        <v>10</v>
      </c>
      <c r="F73" s="38">
        <v>0.4</v>
      </c>
      <c r="G73" s="38">
        <v>0.6</v>
      </c>
      <c r="H73" s="38">
        <v>0.8</v>
      </c>
      <c r="I73" s="38">
        <v>1</v>
      </c>
      <c r="J73" s="38">
        <v>1.2</v>
      </c>
      <c r="K73" s="38">
        <v>2</v>
      </c>
      <c r="L73" s="38">
        <v>2.7</v>
      </c>
      <c r="M73" s="38">
        <v>3</v>
      </c>
      <c r="N73" s="38">
        <v>3.3</v>
      </c>
      <c r="O73" s="38">
        <v>3.5</v>
      </c>
      <c r="P73" s="38">
        <v>3.5</v>
      </c>
      <c r="Q73" s="38">
        <v>3.6</v>
      </c>
    </row>
    <row r="74" spans="2:17" x14ac:dyDescent="0.2">
      <c r="B74" s="95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7"/>
    </row>
    <row r="75" spans="2:17" x14ac:dyDescent="0.2">
      <c r="B75" s="98"/>
      <c r="C75" s="99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100"/>
    </row>
    <row r="76" spans="2:17" ht="15" customHeight="1" x14ac:dyDescent="0.2">
      <c r="B76" s="29">
        <v>1951</v>
      </c>
      <c r="C76" s="101"/>
      <c r="D76" s="104"/>
      <c r="E76" s="30" t="s">
        <v>4</v>
      </c>
      <c r="F76" s="107" t="s">
        <v>5</v>
      </c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9"/>
    </row>
    <row r="77" spans="2:17" ht="15" x14ac:dyDescent="0.2">
      <c r="B77" s="31" t="s">
        <v>3</v>
      </c>
      <c r="C77" s="102"/>
      <c r="D77" s="105"/>
      <c r="E77" s="32" t="s">
        <v>6</v>
      </c>
      <c r="F77" s="32">
        <v>12.6</v>
      </c>
      <c r="G77" s="32">
        <v>14.8</v>
      </c>
      <c r="H77" s="32">
        <v>16.600000000000001</v>
      </c>
      <c r="I77" s="32">
        <v>18.399999999999999</v>
      </c>
      <c r="J77" s="32">
        <v>20</v>
      </c>
      <c r="K77" s="32">
        <v>26.6</v>
      </c>
      <c r="L77" s="32">
        <v>38</v>
      </c>
      <c r="M77" s="32">
        <v>48.8</v>
      </c>
      <c r="N77" s="32">
        <v>60.4</v>
      </c>
      <c r="O77" s="32">
        <v>72.2</v>
      </c>
      <c r="P77" s="32">
        <v>84.2</v>
      </c>
      <c r="Q77" s="32">
        <v>96.8</v>
      </c>
    </row>
    <row r="78" spans="2:17" ht="15" x14ac:dyDescent="0.2">
      <c r="B78" s="33">
        <v>42117</v>
      </c>
      <c r="C78" s="102"/>
      <c r="D78" s="105"/>
      <c r="E78" s="32" t="s">
        <v>7</v>
      </c>
      <c r="F78" s="32">
        <v>-4.2</v>
      </c>
      <c r="G78" s="32">
        <v>-6.2</v>
      </c>
      <c r="H78" s="32">
        <v>-8.8000000000000007</v>
      </c>
      <c r="I78" s="32">
        <v>-11.6</v>
      </c>
      <c r="J78" s="32">
        <v>-15.4</v>
      </c>
      <c r="K78" s="32">
        <v>-36.4</v>
      </c>
      <c r="L78" s="32">
        <v>-80.599999999999994</v>
      </c>
      <c r="M78" s="32">
        <v>-124.2</v>
      </c>
      <c r="N78" s="32">
        <v>-170.4</v>
      </c>
      <c r="O78" s="32">
        <v>-220.2</v>
      </c>
      <c r="P78" s="32">
        <v>-269.60000000000002</v>
      </c>
      <c r="Q78" s="32">
        <v>-318.2</v>
      </c>
    </row>
    <row r="79" spans="2:17" ht="15" x14ac:dyDescent="0.2">
      <c r="B79" s="34"/>
      <c r="C79" s="102"/>
      <c r="D79" s="105"/>
      <c r="E79" s="35" t="s">
        <v>8</v>
      </c>
      <c r="F79" s="36">
        <v>-4.2</v>
      </c>
      <c r="G79" s="36">
        <v>-3.1</v>
      </c>
      <c r="H79" s="36">
        <v>-2.9</v>
      </c>
      <c r="I79" s="36">
        <v>-2.9</v>
      </c>
      <c r="J79" s="36">
        <v>-3.1</v>
      </c>
      <c r="K79" s="36">
        <v>-3.6</v>
      </c>
      <c r="L79" s="36">
        <v>-4</v>
      </c>
      <c r="M79" s="36">
        <v>-4.0999999999999996</v>
      </c>
      <c r="N79" s="36">
        <v>-4.3</v>
      </c>
      <c r="O79" s="36">
        <v>-4.4000000000000004</v>
      </c>
      <c r="P79" s="36">
        <v>-4.5</v>
      </c>
      <c r="Q79" s="36">
        <v>-4.5</v>
      </c>
    </row>
    <row r="80" spans="2:17" ht="15" x14ac:dyDescent="0.2">
      <c r="B80" s="34"/>
      <c r="C80" s="102"/>
      <c r="D80" s="105"/>
      <c r="E80" s="30" t="s">
        <v>9</v>
      </c>
      <c r="F80" s="30">
        <v>0.68</v>
      </c>
      <c r="G80" s="30">
        <v>0.5</v>
      </c>
      <c r="H80" s="30">
        <v>0.47</v>
      </c>
      <c r="I80" s="30">
        <v>0.47</v>
      </c>
      <c r="J80" s="30">
        <v>0.5</v>
      </c>
      <c r="K80" s="30">
        <v>0.57999999999999996</v>
      </c>
      <c r="L80" s="30">
        <v>0.65</v>
      </c>
      <c r="M80" s="30">
        <v>0.66</v>
      </c>
      <c r="N80" s="30">
        <v>0.69</v>
      </c>
      <c r="O80" s="30">
        <v>0.71</v>
      </c>
      <c r="P80" s="30">
        <v>0.73</v>
      </c>
      <c r="Q80" s="30">
        <v>0.73</v>
      </c>
    </row>
    <row r="81" spans="2:17" ht="15" x14ac:dyDescent="0.2">
      <c r="B81" s="37"/>
      <c r="C81" s="103"/>
      <c r="D81" s="106"/>
      <c r="E81" s="38" t="s">
        <v>10</v>
      </c>
      <c r="F81" s="38">
        <v>0.3</v>
      </c>
      <c r="G81" s="38">
        <v>0.4</v>
      </c>
      <c r="H81" s="38">
        <v>0.5</v>
      </c>
      <c r="I81" s="38">
        <v>0.6</v>
      </c>
      <c r="J81" s="38">
        <v>0.8</v>
      </c>
      <c r="K81" s="38">
        <v>1.4</v>
      </c>
      <c r="L81" s="38">
        <v>2.1</v>
      </c>
      <c r="M81" s="38">
        <v>2.5</v>
      </c>
      <c r="N81" s="38">
        <v>2.8</v>
      </c>
      <c r="O81" s="38">
        <v>3</v>
      </c>
      <c r="P81" s="38">
        <v>3.2</v>
      </c>
      <c r="Q81" s="38">
        <v>3.3</v>
      </c>
    </row>
    <row r="82" spans="2:17" x14ac:dyDescent="0.2">
      <c r="B82" s="95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7"/>
    </row>
    <row r="83" spans="2:17" x14ac:dyDescent="0.2">
      <c r="B83" s="98"/>
      <c r="C83" s="99"/>
      <c r="D83" s="99"/>
      <c r="E83" s="99"/>
      <c r="F83" s="99"/>
      <c r="G83" s="99"/>
      <c r="H83" s="99"/>
      <c r="I83" s="99"/>
      <c r="J83" s="99"/>
      <c r="K83" s="99"/>
      <c r="L83" s="99"/>
      <c r="M83" s="99"/>
      <c r="N83" s="99"/>
      <c r="O83" s="99"/>
      <c r="P83" s="99"/>
      <c r="Q83" s="100"/>
    </row>
    <row r="84" spans="2:17" ht="15" customHeight="1" x14ac:dyDescent="0.2">
      <c r="B84" s="29">
        <v>1952</v>
      </c>
      <c r="C84" s="101"/>
      <c r="D84" s="104"/>
      <c r="E84" s="30" t="s">
        <v>4</v>
      </c>
      <c r="F84" s="107" t="s">
        <v>5</v>
      </c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9"/>
    </row>
    <row r="85" spans="2:17" ht="15" x14ac:dyDescent="0.2">
      <c r="B85" s="31" t="s">
        <v>3</v>
      </c>
      <c r="C85" s="102"/>
      <c r="D85" s="105"/>
      <c r="E85" s="32" t="s">
        <v>6</v>
      </c>
      <c r="F85" s="32">
        <v>11.6</v>
      </c>
      <c r="G85" s="32">
        <v>13.8</v>
      </c>
      <c r="H85" s="32">
        <v>16</v>
      </c>
      <c r="I85" s="32">
        <v>17.399999999999999</v>
      </c>
      <c r="J85" s="32">
        <v>19.399999999999999</v>
      </c>
      <c r="K85" s="32">
        <v>26.2</v>
      </c>
      <c r="L85" s="32">
        <v>38.6</v>
      </c>
      <c r="M85" s="32">
        <v>51.2</v>
      </c>
      <c r="N85" s="32">
        <v>64.2</v>
      </c>
      <c r="O85" s="32">
        <v>77.8</v>
      </c>
      <c r="P85" s="32">
        <v>91.4</v>
      </c>
      <c r="Q85" s="32">
        <v>106</v>
      </c>
    </row>
    <row r="86" spans="2:17" ht="15" x14ac:dyDescent="0.2">
      <c r="B86" s="33">
        <v>42118</v>
      </c>
      <c r="C86" s="102"/>
      <c r="D86" s="105"/>
      <c r="E86" s="32" t="s">
        <v>7</v>
      </c>
      <c r="F86" s="32">
        <v>-3.8</v>
      </c>
      <c r="G86" s="32">
        <v>-5.8</v>
      </c>
      <c r="H86" s="32">
        <v>-8.1999999999999993</v>
      </c>
      <c r="I86" s="32">
        <v>-11.2</v>
      </c>
      <c r="J86" s="32">
        <v>-14.6</v>
      </c>
      <c r="K86" s="32">
        <v>-37</v>
      </c>
      <c r="L86" s="32">
        <v>-83</v>
      </c>
      <c r="M86" s="32">
        <v>-128.6</v>
      </c>
      <c r="N86" s="32">
        <v>-178</v>
      </c>
      <c r="O86" s="32">
        <v>-232.6</v>
      </c>
      <c r="P86" s="32">
        <v>-285.39999999999998</v>
      </c>
      <c r="Q86" s="32">
        <v>-335.4</v>
      </c>
    </row>
    <row r="87" spans="2:17" ht="15" x14ac:dyDescent="0.2">
      <c r="B87" s="34"/>
      <c r="C87" s="102"/>
      <c r="D87" s="105"/>
      <c r="E87" s="35" t="s">
        <v>8</v>
      </c>
      <c r="F87" s="36">
        <v>-3.8</v>
      </c>
      <c r="G87" s="36">
        <v>-2.9</v>
      </c>
      <c r="H87" s="36">
        <v>-2.7</v>
      </c>
      <c r="I87" s="36">
        <v>-2.8</v>
      </c>
      <c r="J87" s="36">
        <v>-2.9</v>
      </c>
      <c r="K87" s="36">
        <v>-3.7</v>
      </c>
      <c r="L87" s="36">
        <v>-4.2</v>
      </c>
      <c r="M87" s="36">
        <v>-4.3</v>
      </c>
      <c r="N87" s="36">
        <v>-4.5</v>
      </c>
      <c r="O87" s="36">
        <v>-4.7</v>
      </c>
      <c r="P87" s="36">
        <v>-4.8</v>
      </c>
      <c r="Q87" s="36">
        <v>-4.8</v>
      </c>
    </row>
    <row r="88" spans="2:17" ht="15" x14ac:dyDescent="0.2">
      <c r="B88" s="34"/>
      <c r="C88" s="102"/>
      <c r="D88" s="105"/>
      <c r="E88" s="30" t="s">
        <v>9</v>
      </c>
      <c r="F88" s="30">
        <v>0.61</v>
      </c>
      <c r="G88" s="30">
        <v>0.47</v>
      </c>
      <c r="H88" s="30">
        <v>0.44</v>
      </c>
      <c r="I88" s="30">
        <v>0.45</v>
      </c>
      <c r="J88" s="30">
        <v>0.47</v>
      </c>
      <c r="K88" s="30">
        <v>0.6</v>
      </c>
      <c r="L88" s="30">
        <v>0.68</v>
      </c>
      <c r="M88" s="30">
        <v>0.69</v>
      </c>
      <c r="N88" s="30">
        <v>0.73</v>
      </c>
      <c r="O88" s="30">
        <v>0.76</v>
      </c>
      <c r="P88" s="30">
        <v>0.78</v>
      </c>
      <c r="Q88" s="30">
        <v>0.78</v>
      </c>
    </row>
    <row r="89" spans="2:17" ht="15" x14ac:dyDescent="0.2">
      <c r="B89" s="37"/>
      <c r="C89" s="103"/>
      <c r="D89" s="106"/>
      <c r="E89" s="38" t="s">
        <v>10</v>
      </c>
      <c r="F89" s="38">
        <v>0.3</v>
      </c>
      <c r="G89" s="38">
        <v>0.4</v>
      </c>
      <c r="H89" s="38">
        <v>0.5</v>
      </c>
      <c r="I89" s="38">
        <v>0.6</v>
      </c>
      <c r="J89" s="38">
        <v>0.8</v>
      </c>
      <c r="K89" s="38">
        <v>1.4</v>
      </c>
      <c r="L89" s="38">
        <v>2.2000000000000002</v>
      </c>
      <c r="M89" s="38">
        <v>2.5</v>
      </c>
      <c r="N89" s="38">
        <v>2.8</v>
      </c>
      <c r="O89" s="38">
        <v>3</v>
      </c>
      <c r="P89" s="38">
        <v>3.1</v>
      </c>
      <c r="Q89" s="38">
        <v>3.2</v>
      </c>
    </row>
    <row r="90" spans="2:17" x14ac:dyDescent="0.2">
      <c r="B90" s="95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7"/>
    </row>
    <row r="91" spans="2:17" x14ac:dyDescent="0.2">
      <c r="B91" s="98"/>
      <c r="C91" s="99"/>
      <c r="D91" s="99"/>
      <c r="E91" s="99"/>
      <c r="F91" s="99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100"/>
    </row>
    <row r="92" spans="2:17" ht="15" customHeight="1" x14ac:dyDescent="0.2">
      <c r="B92" s="29">
        <v>1953</v>
      </c>
      <c r="C92" s="101"/>
      <c r="D92" s="104"/>
      <c r="E92" s="30" t="s">
        <v>4</v>
      </c>
      <c r="F92" s="107" t="s">
        <v>5</v>
      </c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9"/>
    </row>
    <row r="93" spans="2:17" ht="15" x14ac:dyDescent="0.2">
      <c r="B93" s="31" t="s">
        <v>3</v>
      </c>
      <c r="C93" s="102"/>
      <c r="D93" s="105"/>
      <c r="E93" s="32" t="s">
        <v>6</v>
      </c>
      <c r="F93" s="32">
        <v>12.4</v>
      </c>
      <c r="G93" s="32">
        <v>14.8</v>
      </c>
      <c r="H93" s="32">
        <v>16.8</v>
      </c>
      <c r="I93" s="32">
        <v>18.399999999999999</v>
      </c>
      <c r="J93" s="32">
        <v>20</v>
      </c>
      <c r="K93" s="32">
        <v>26.4</v>
      </c>
      <c r="L93" s="32">
        <v>38.799999999999997</v>
      </c>
      <c r="M93" s="32">
        <v>50.8</v>
      </c>
      <c r="N93" s="32">
        <v>63.6</v>
      </c>
      <c r="O93" s="32">
        <v>77.400000000000006</v>
      </c>
      <c r="P93" s="32">
        <v>91</v>
      </c>
      <c r="Q93" s="32">
        <v>105</v>
      </c>
    </row>
    <row r="94" spans="2:17" ht="15" x14ac:dyDescent="0.2">
      <c r="B94" s="33">
        <v>42118</v>
      </c>
      <c r="C94" s="102"/>
      <c r="D94" s="105"/>
      <c r="E94" s="32" t="s">
        <v>7</v>
      </c>
      <c r="F94" s="32">
        <v>-4.4000000000000004</v>
      </c>
      <c r="G94" s="32">
        <v>-6</v>
      </c>
      <c r="H94" s="32">
        <v>-8.4</v>
      </c>
      <c r="I94" s="32">
        <v>-11.2</v>
      </c>
      <c r="J94" s="32">
        <v>-14.4</v>
      </c>
      <c r="K94" s="32">
        <v>-38.799999999999997</v>
      </c>
      <c r="L94" s="32">
        <v>-91.8</v>
      </c>
      <c r="M94" s="32">
        <v>-142</v>
      </c>
      <c r="N94" s="32">
        <v>-196</v>
      </c>
      <c r="O94" s="32">
        <v>-253</v>
      </c>
      <c r="P94" s="32">
        <v>-304.39999999999998</v>
      </c>
      <c r="Q94" s="32">
        <v>-355.4</v>
      </c>
    </row>
    <row r="95" spans="2:17" ht="15" x14ac:dyDescent="0.2">
      <c r="B95" s="34"/>
      <c r="C95" s="102"/>
      <c r="D95" s="105"/>
      <c r="E95" s="35" t="s">
        <v>8</v>
      </c>
      <c r="F95" s="36">
        <v>-4.4000000000000004</v>
      </c>
      <c r="G95" s="36">
        <v>-3</v>
      </c>
      <c r="H95" s="36">
        <v>-2.8</v>
      </c>
      <c r="I95" s="36">
        <v>-2.8</v>
      </c>
      <c r="J95" s="36">
        <v>-2.9</v>
      </c>
      <c r="K95" s="36">
        <v>-3.9</v>
      </c>
      <c r="L95" s="36">
        <v>-4.5999999999999996</v>
      </c>
      <c r="M95" s="36">
        <v>-4.7</v>
      </c>
      <c r="N95" s="36">
        <v>-4.9000000000000004</v>
      </c>
      <c r="O95" s="36">
        <v>-5.0999999999999996</v>
      </c>
      <c r="P95" s="36">
        <v>-5.0999999999999996</v>
      </c>
      <c r="Q95" s="36">
        <v>-5.0999999999999996</v>
      </c>
    </row>
    <row r="96" spans="2:17" ht="15" x14ac:dyDescent="0.2">
      <c r="B96" s="34"/>
      <c r="C96" s="102"/>
      <c r="D96" s="105"/>
      <c r="E96" s="30" t="s">
        <v>9</v>
      </c>
      <c r="F96" s="30">
        <v>0.71</v>
      </c>
      <c r="G96" s="30">
        <v>0.48</v>
      </c>
      <c r="H96" s="30">
        <v>0.45</v>
      </c>
      <c r="I96" s="30">
        <v>0.45</v>
      </c>
      <c r="J96" s="30">
        <v>0.47</v>
      </c>
      <c r="K96" s="30">
        <v>0.63</v>
      </c>
      <c r="L96" s="30">
        <v>0.74</v>
      </c>
      <c r="M96" s="30">
        <v>0.76</v>
      </c>
      <c r="N96" s="30">
        <v>0.79</v>
      </c>
      <c r="O96" s="30">
        <v>0.82</v>
      </c>
      <c r="P96" s="30">
        <v>0.82</v>
      </c>
      <c r="Q96" s="30">
        <v>0.82</v>
      </c>
    </row>
    <row r="97" spans="2:17" ht="15" x14ac:dyDescent="0.2">
      <c r="B97" s="37"/>
      <c r="C97" s="103"/>
      <c r="D97" s="106"/>
      <c r="E97" s="38" t="s">
        <v>10</v>
      </c>
      <c r="F97" s="38">
        <v>0.4</v>
      </c>
      <c r="G97" s="38">
        <v>0.4</v>
      </c>
      <c r="H97" s="38">
        <v>0.5</v>
      </c>
      <c r="I97" s="38">
        <v>0.6</v>
      </c>
      <c r="J97" s="38">
        <v>0.7</v>
      </c>
      <c r="K97" s="38">
        <v>1.5</v>
      </c>
      <c r="L97" s="38">
        <v>2.4</v>
      </c>
      <c r="M97" s="38">
        <v>2.8</v>
      </c>
      <c r="N97" s="38">
        <v>3.1</v>
      </c>
      <c r="O97" s="38">
        <v>3.3</v>
      </c>
      <c r="P97" s="38">
        <v>3.3</v>
      </c>
      <c r="Q97" s="38">
        <v>3.4</v>
      </c>
    </row>
    <row r="98" spans="2:17" x14ac:dyDescent="0.2">
      <c r="B98" s="95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7"/>
    </row>
    <row r="99" spans="2:17" x14ac:dyDescent="0.2">
      <c r="B99" s="98"/>
      <c r="C99" s="99"/>
      <c r="D99" s="99"/>
      <c r="E99" s="99"/>
      <c r="F99" s="99"/>
      <c r="G99" s="99"/>
      <c r="H99" s="99"/>
      <c r="I99" s="99"/>
      <c r="J99" s="99"/>
      <c r="K99" s="99"/>
      <c r="L99" s="99"/>
      <c r="M99" s="99"/>
      <c r="N99" s="99"/>
      <c r="O99" s="99"/>
      <c r="P99" s="99"/>
      <c r="Q99" s="100"/>
    </row>
    <row r="100" spans="2:17" ht="15" customHeight="1" x14ac:dyDescent="0.2">
      <c r="B100" s="29">
        <v>1956</v>
      </c>
      <c r="C100" s="101"/>
      <c r="D100" s="104"/>
      <c r="E100" s="30" t="s">
        <v>4</v>
      </c>
      <c r="F100" s="107" t="s">
        <v>5</v>
      </c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9"/>
    </row>
    <row r="101" spans="2:17" ht="30" x14ac:dyDescent="0.2">
      <c r="B101" s="31" t="s">
        <v>17</v>
      </c>
      <c r="C101" s="102"/>
      <c r="D101" s="105"/>
      <c r="E101" s="32" t="s">
        <v>6</v>
      </c>
      <c r="F101" s="32">
        <v>11.6</v>
      </c>
      <c r="G101" s="32">
        <v>13.8</v>
      </c>
      <c r="H101" s="32">
        <v>16</v>
      </c>
      <c r="I101" s="32">
        <v>17.399999999999999</v>
      </c>
      <c r="J101" s="32">
        <v>19.399999999999999</v>
      </c>
      <c r="K101" s="32">
        <v>26.2</v>
      </c>
      <c r="L101" s="32">
        <v>38.6</v>
      </c>
      <c r="M101" s="32">
        <v>51.2</v>
      </c>
      <c r="N101" s="32">
        <v>64.2</v>
      </c>
      <c r="O101" s="32">
        <v>77.8</v>
      </c>
      <c r="P101" s="32">
        <v>91.4</v>
      </c>
      <c r="Q101" s="32">
        <v>106</v>
      </c>
    </row>
    <row r="102" spans="2:17" ht="15" x14ac:dyDescent="0.2">
      <c r="B102" s="33">
        <v>42116</v>
      </c>
      <c r="C102" s="102"/>
      <c r="D102" s="105"/>
      <c r="E102" s="32" t="s">
        <v>7</v>
      </c>
      <c r="F102" s="32">
        <v>-3.8</v>
      </c>
      <c r="G102" s="32">
        <v>-5.8</v>
      </c>
      <c r="H102" s="32">
        <v>-8.1999999999999993</v>
      </c>
      <c r="I102" s="32">
        <v>-11.2</v>
      </c>
      <c r="J102" s="32">
        <v>-14.6</v>
      </c>
      <c r="K102" s="32">
        <v>-37</v>
      </c>
      <c r="L102" s="32">
        <v>-83</v>
      </c>
      <c r="M102" s="32">
        <v>-128.6</v>
      </c>
      <c r="N102" s="32">
        <v>-178</v>
      </c>
      <c r="O102" s="32">
        <v>-232.6</v>
      </c>
      <c r="P102" s="32">
        <v>-285.39999999999998</v>
      </c>
      <c r="Q102" s="32">
        <v>-335.4</v>
      </c>
    </row>
    <row r="103" spans="2:17" ht="15" x14ac:dyDescent="0.2">
      <c r="B103" s="34"/>
      <c r="C103" s="102"/>
      <c r="D103" s="105"/>
      <c r="E103" s="35" t="s">
        <v>8</v>
      </c>
      <c r="F103" s="36">
        <v>-3.8</v>
      </c>
      <c r="G103" s="36">
        <v>-2.9</v>
      </c>
      <c r="H103" s="36">
        <v>-2.7</v>
      </c>
      <c r="I103" s="36">
        <v>-2.8</v>
      </c>
      <c r="J103" s="36">
        <v>-2.9</v>
      </c>
      <c r="K103" s="36">
        <v>-3.7</v>
      </c>
      <c r="L103" s="36">
        <v>-4.2</v>
      </c>
      <c r="M103" s="36">
        <v>-4.3</v>
      </c>
      <c r="N103" s="36">
        <v>-4.5</v>
      </c>
      <c r="O103" s="36">
        <v>-4.7</v>
      </c>
      <c r="P103" s="36">
        <v>-4.8</v>
      </c>
      <c r="Q103" s="36">
        <v>-4.8</v>
      </c>
    </row>
    <row r="104" spans="2:17" ht="15" x14ac:dyDescent="0.2">
      <c r="B104" s="34"/>
      <c r="C104" s="102"/>
      <c r="D104" s="105"/>
      <c r="E104" s="30" t="s">
        <v>9</v>
      </c>
      <c r="F104" s="30">
        <v>0.61</v>
      </c>
      <c r="G104" s="30">
        <v>0.47</v>
      </c>
      <c r="H104" s="30">
        <v>0.44</v>
      </c>
      <c r="I104" s="30">
        <v>0.45</v>
      </c>
      <c r="J104" s="30">
        <v>0.47</v>
      </c>
      <c r="K104" s="30">
        <v>0.6</v>
      </c>
      <c r="L104" s="30">
        <v>0.68</v>
      </c>
      <c r="M104" s="30">
        <v>0.69</v>
      </c>
      <c r="N104" s="30">
        <v>0.73</v>
      </c>
      <c r="O104" s="30">
        <v>0.76</v>
      </c>
      <c r="P104" s="30">
        <v>0.78</v>
      </c>
      <c r="Q104" s="30">
        <v>0.78</v>
      </c>
    </row>
    <row r="105" spans="2:17" ht="15" x14ac:dyDescent="0.2">
      <c r="B105" s="37"/>
      <c r="C105" s="103"/>
      <c r="D105" s="106"/>
      <c r="E105" s="38" t="s">
        <v>10</v>
      </c>
      <c r="F105" s="38">
        <v>0.3</v>
      </c>
      <c r="G105" s="38">
        <v>0.4</v>
      </c>
      <c r="H105" s="38">
        <v>0.5</v>
      </c>
      <c r="I105" s="38">
        <v>0.6</v>
      </c>
      <c r="J105" s="38">
        <v>0.8</v>
      </c>
      <c r="K105" s="38">
        <v>1.4</v>
      </c>
      <c r="L105" s="38">
        <v>2.2000000000000002</v>
      </c>
      <c r="M105" s="38">
        <v>2.5</v>
      </c>
      <c r="N105" s="38">
        <v>2.8</v>
      </c>
      <c r="O105" s="38">
        <v>3</v>
      </c>
      <c r="P105" s="38">
        <v>3.1</v>
      </c>
      <c r="Q105" s="38">
        <v>3.2</v>
      </c>
    </row>
    <row r="106" spans="2:17" x14ac:dyDescent="0.2">
      <c r="B106" s="95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7"/>
    </row>
    <row r="107" spans="2:17" x14ac:dyDescent="0.2">
      <c r="B107" s="98"/>
      <c r="C107" s="99"/>
      <c r="D107" s="99"/>
      <c r="E107" s="99"/>
      <c r="F107" s="99"/>
      <c r="G107" s="99"/>
      <c r="H107" s="99"/>
      <c r="I107" s="99"/>
      <c r="J107" s="99"/>
      <c r="K107" s="99"/>
      <c r="L107" s="99"/>
      <c r="M107" s="99"/>
      <c r="N107" s="99"/>
      <c r="O107" s="99"/>
      <c r="P107" s="99"/>
      <c r="Q107" s="100"/>
    </row>
    <row r="108" spans="2:17" ht="15" customHeight="1" x14ac:dyDescent="0.2">
      <c r="B108" s="3">
        <v>1958</v>
      </c>
      <c r="C108" s="89"/>
      <c r="D108" s="92"/>
      <c r="E108" s="8" t="s">
        <v>4</v>
      </c>
      <c r="F108" s="110" t="s">
        <v>5</v>
      </c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2"/>
    </row>
    <row r="109" spans="2:17" ht="15" x14ac:dyDescent="0.2">
      <c r="B109" s="4" t="s">
        <v>3</v>
      </c>
      <c r="C109" s="90"/>
      <c r="D109" s="93"/>
      <c r="E109" s="9" t="s">
        <v>6</v>
      </c>
      <c r="F109" s="9">
        <v>8.8000000000000007</v>
      </c>
      <c r="G109" s="9">
        <v>11</v>
      </c>
      <c r="H109" s="10">
        <v>13.4</v>
      </c>
      <c r="I109" s="9">
        <v>15.4</v>
      </c>
      <c r="J109" s="9">
        <v>17</v>
      </c>
      <c r="K109" s="10">
        <v>22.4</v>
      </c>
      <c r="L109" s="9">
        <v>31.4</v>
      </c>
      <c r="M109" s="9">
        <v>41</v>
      </c>
      <c r="N109" s="10">
        <v>51.4</v>
      </c>
      <c r="O109" s="9">
        <v>62.8</v>
      </c>
      <c r="P109" s="9">
        <v>74.2</v>
      </c>
      <c r="Q109" s="10">
        <v>85.8</v>
      </c>
    </row>
    <row r="110" spans="2:17" ht="15" x14ac:dyDescent="0.2">
      <c r="B110" s="5">
        <v>42128</v>
      </c>
      <c r="C110" s="90"/>
      <c r="D110" s="93"/>
      <c r="E110" s="9" t="s">
        <v>7</v>
      </c>
      <c r="F110" s="9">
        <v>-5</v>
      </c>
      <c r="G110" s="9">
        <v>-7.8</v>
      </c>
      <c r="H110" s="10">
        <v>-10.8</v>
      </c>
      <c r="I110" s="9">
        <v>-14.2</v>
      </c>
      <c r="J110" s="9">
        <v>-18.399999999999999</v>
      </c>
      <c r="K110" s="10">
        <v>-39.6</v>
      </c>
      <c r="L110" s="9">
        <v>-76.8</v>
      </c>
      <c r="M110" s="9">
        <v>-115</v>
      </c>
      <c r="N110" s="10">
        <v>-154.19999999999999</v>
      </c>
      <c r="O110" s="9">
        <v>-192.2</v>
      </c>
      <c r="P110" s="9">
        <v>-231.2</v>
      </c>
      <c r="Q110" s="10">
        <v>-269.2</v>
      </c>
    </row>
    <row r="111" spans="2:17" ht="15" x14ac:dyDescent="0.2">
      <c r="B111" s="6"/>
      <c r="C111" s="90"/>
      <c r="D111" s="93"/>
      <c r="E111" s="11" t="s">
        <v>8</v>
      </c>
      <c r="F111" s="12">
        <v>-5</v>
      </c>
      <c r="G111" s="12">
        <v>-3.9</v>
      </c>
      <c r="H111" s="12">
        <v>-3.6</v>
      </c>
      <c r="I111" s="12">
        <v>-3.6</v>
      </c>
      <c r="J111" s="12">
        <v>-3.7</v>
      </c>
      <c r="K111" s="12">
        <v>-4</v>
      </c>
      <c r="L111" s="12">
        <v>-3.8</v>
      </c>
      <c r="M111" s="12">
        <v>-3.8</v>
      </c>
      <c r="N111" s="12">
        <v>-3.9</v>
      </c>
      <c r="O111" s="12">
        <v>-3.8</v>
      </c>
      <c r="P111" s="12">
        <v>-3.9</v>
      </c>
      <c r="Q111" s="12">
        <v>-3.8</v>
      </c>
    </row>
    <row r="112" spans="2:17" ht="15" x14ac:dyDescent="0.2">
      <c r="B112" s="6"/>
      <c r="C112" s="90"/>
      <c r="D112" s="93"/>
      <c r="E112" s="8" t="s">
        <v>9</v>
      </c>
      <c r="F112" s="8">
        <v>0.81</v>
      </c>
      <c r="G112" s="8">
        <v>0.63</v>
      </c>
      <c r="H112" s="13">
        <v>0.57999999999999996</v>
      </c>
      <c r="I112" s="8">
        <v>0.57999999999999996</v>
      </c>
      <c r="J112" s="8">
        <v>0.6</v>
      </c>
      <c r="K112" s="13">
        <v>0.65</v>
      </c>
      <c r="L112" s="8">
        <v>0.61</v>
      </c>
      <c r="M112" s="8">
        <v>0.61</v>
      </c>
      <c r="N112" s="13">
        <v>0.63</v>
      </c>
      <c r="O112" s="8">
        <v>0.61</v>
      </c>
      <c r="P112" s="8">
        <v>0.63</v>
      </c>
      <c r="Q112" s="13">
        <v>0.61</v>
      </c>
    </row>
    <row r="113" spans="2:17" ht="15" x14ac:dyDescent="0.2">
      <c r="B113" s="7"/>
      <c r="C113" s="91"/>
      <c r="D113" s="94"/>
      <c r="E113" s="14" t="s">
        <v>10</v>
      </c>
      <c r="F113" s="14">
        <v>0.6</v>
      </c>
      <c r="G113" s="14">
        <v>0.7</v>
      </c>
      <c r="H113" s="15">
        <v>0.8</v>
      </c>
      <c r="I113" s="14">
        <v>0.9</v>
      </c>
      <c r="J113" s="14">
        <v>1.1000000000000001</v>
      </c>
      <c r="K113" s="15">
        <v>1.8</v>
      </c>
      <c r="L113" s="14">
        <v>2.4</v>
      </c>
      <c r="M113" s="14">
        <v>2.8</v>
      </c>
      <c r="N113" s="15">
        <v>3</v>
      </c>
      <c r="O113" s="14">
        <v>3.1</v>
      </c>
      <c r="P113" s="14">
        <v>3.1</v>
      </c>
      <c r="Q113" s="15">
        <v>3.1</v>
      </c>
    </row>
    <row r="114" spans="2:17" x14ac:dyDescent="0.2">
      <c r="B114" s="95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7"/>
    </row>
    <row r="115" spans="2:17" x14ac:dyDescent="0.2">
      <c r="B115" s="98"/>
      <c r="C115" s="99"/>
      <c r="D115" s="99"/>
      <c r="E115" s="99"/>
      <c r="F115" s="99"/>
      <c r="G115" s="99"/>
      <c r="H115" s="99"/>
      <c r="I115" s="99"/>
      <c r="J115" s="99"/>
      <c r="K115" s="99"/>
      <c r="L115" s="99"/>
      <c r="M115" s="99"/>
      <c r="N115" s="99"/>
      <c r="O115" s="99"/>
      <c r="P115" s="99"/>
      <c r="Q115" s="100"/>
    </row>
    <row r="116" spans="2:17" ht="15" customHeight="1" x14ac:dyDescent="0.2">
      <c r="B116" s="3">
        <v>1967</v>
      </c>
      <c r="C116" s="89"/>
      <c r="D116" s="92"/>
      <c r="E116" s="8" t="s">
        <v>4</v>
      </c>
      <c r="F116" s="110" t="s">
        <v>5</v>
      </c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2"/>
    </row>
    <row r="117" spans="2:17" ht="30" x14ac:dyDescent="0.2">
      <c r="B117" s="4" t="s">
        <v>17</v>
      </c>
      <c r="C117" s="90"/>
      <c r="D117" s="93"/>
      <c r="E117" s="9" t="s">
        <v>6</v>
      </c>
      <c r="F117" s="9">
        <v>8.4</v>
      </c>
      <c r="G117" s="9">
        <v>10.8</v>
      </c>
      <c r="H117" s="10">
        <v>13.2</v>
      </c>
      <c r="I117" s="9">
        <v>15.6</v>
      </c>
      <c r="J117" s="9">
        <v>16.8</v>
      </c>
      <c r="K117" s="10">
        <v>22.2</v>
      </c>
      <c r="L117" s="9">
        <v>31</v>
      </c>
      <c r="M117" s="9">
        <v>40.200000000000003</v>
      </c>
      <c r="N117" s="10">
        <v>50.6</v>
      </c>
      <c r="O117" s="9">
        <v>62.4</v>
      </c>
      <c r="P117" s="9">
        <v>73.8</v>
      </c>
      <c r="Q117" s="10">
        <v>85.4</v>
      </c>
    </row>
    <row r="118" spans="2:17" ht="15" x14ac:dyDescent="0.2">
      <c r="B118" s="5">
        <v>42131</v>
      </c>
      <c r="C118" s="90"/>
      <c r="D118" s="93"/>
      <c r="E118" s="9" t="s">
        <v>7</v>
      </c>
      <c r="F118" s="9">
        <v>-4</v>
      </c>
      <c r="G118" s="9">
        <v>-6.2</v>
      </c>
      <c r="H118" s="10">
        <v>-9</v>
      </c>
      <c r="I118" s="9">
        <v>-11.8</v>
      </c>
      <c r="J118" s="9">
        <v>-15.8</v>
      </c>
      <c r="K118" s="10">
        <v>-35</v>
      </c>
      <c r="L118" s="9">
        <v>-71.2</v>
      </c>
      <c r="M118" s="9">
        <v>-105.8</v>
      </c>
      <c r="N118" s="10">
        <v>-141.4</v>
      </c>
      <c r="O118" s="9">
        <v>-179.6</v>
      </c>
      <c r="P118" s="9">
        <v>-216.8</v>
      </c>
      <c r="Q118" s="10">
        <v>-252.8</v>
      </c>
    </row>
    <row r="119" spans="2:17" ht="15" x14ac:dyDescent="0.2">
      <c r="B119" s="6"/>
      <c r="C119" s="90"/>
      <c r="D119" s="93"/>
      <c r="E119" s="11" t="s">
        <v>8</v>
      </c>
      <c r="F119" s="12">
        <v>-4</v>
      </c>
      <c r="G119" s="12">
        <v>-3.1</v>
      </c>
      <c r="H119" s="12">
        <v>-3</v>
      </c>
      <c r="I119" s="12">
        <v>-3</v>
      </c>
      <c r="J119" s="12">
        <v>-3.2</v>
      </c>
      <c r="K119" s="12">
        <v>-3.5</v>
      </c>
      <c r="L119" s="12">
        <v>-3.6</v>
      </c>
      <c r="M119" s="12">
        <v>-3.5</v>
      </c>
      <c r="N119" s="12">
        <v>-3.5</v>
      </c>
      <c r="O119" s="12">
        <v>-3.6</v>
      </c>
      <c r="P119" s="12">
        <v>-3.6</v>
      </c>
      <c r="Q119" s="12">
        <v>-3.6</v>
      </c>
    </row>
    <row r="120" spans="2:17" ht="15" x14ac:dyDescent="0.2">
      <c r="B120" s="6"/>
      <c r="C120" s="90"/>
      <c r="D120" s="93"/>
      <c r="E120" s="8" t="s">
        <v>9</v>
      </c>
      <c r="F120" s="8">
        <v>0.65</v>
      </c>
      <c r="G120" s="8">
        <v>0.5</v>
      </c>
      <c r="H120" s="13">
        <v>0.48</v>
      </c>
      <c r="I120" s="8">
        <v>0.48</v>
      </c>
      <c r="J120" s="8">
        <v>0.52</v>
      </c>
      <c r="K120" s="13">
        <v>0.56999999999999995</v>
      </c>
      <c r="L120" s="8">
        <v>0.57999999999999996</v>
      </c>
      <c r="M120" s="8">
        <v>0.56999999999999995</v>
      </c>
      <c r="N120" s="13">
        <v>0.56999999999999995</v>
      </c>
      <c r="O120" s="8">
        <v>0.57999999999999996</v>
      </c>
      <c r="P120" s="8">
        <v>0.57999999999999996</v>
      </c>
      <c r="Q120" s="13">
        <v>0.57999999999999996</v>
      </c>
    </row>
    <row r="121" spans="2:17" ht="15" x14ac:dyDescent="0.2">
      <c r="B121" s="7"/>
      <c r="C121" s="91"/>
      <c r="D121" s="94"/>
      <c r="E121" s="14" t="s">
        <v>10</v>
      </c>
      <c r="F121" s="14">
        <v>0.5</v>
      </c>
      <c r="G121" s="14">
        <v>0.6</v>
      </c>
      <c r="H121" s="15">
        <v>0.7</v>
      </c>
      <c r="I121" s="14">
        <v>0.8</v>
      </c>
      <c r="J121" s="14">
        <v>0.9</v>
      </c>
      <c r="K121" s="15">
        <v>1.6</v>
      </c>
      <c r="L121" s="14">
        <v>2.2999999999999998</v>
      </c>
      <c r="M121" s="14">
        <v>2.6</v>
      </c>
      <c r="N121" s="15">
        <v>2.8</v>
      </c>
      <c r="O121" s="14">
        <v>2.9</v>
      </c>
      <c r="P121" s="14">
        <v>2.9</v>
      </c>
      <c r="Q121" s="15">
        <v>3</v>
      </c>
    </row>
    <row r="122" spans="2:17" x14ac:dyDescent="0.2">
      <c r="B122" s="95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7"/>
    </row>
    <row r="123" spans="2:17" x14ac:dyDescent="0.2">
      <c r="B123" s="98"/>
      <c r="C123" s="99"/>
      <c r="D123" s="99"/>
      <c r="E123" s="99"/>
      <c r="F123" s="99"/>
      <c r="G123" s="99"/>
      <c r="H123" s="99"/>
      <c r="I123" s="99"/>
      <c r="J123" s="99"/>
      <c r="K123" s="99"/>
      <c r="L123" s="99"/>
      <c r="M123" s="99"/>
      <c r="N123" s="99"/>
      <c r="O123" s="99"/>
      <c r="P123" s="99"/>
      <c r="Q123" s="100"/>
    </row>
    <row r="124" spans="2:17" ht="15" customHeight="1" x14ac:dyDescent="0.2">
      <c r="B124" s="3">
        <v>2051</v>
      </c>
      <c r="C124" s="89"/>
      <c r="D124" s="92"/>
      <c r="E124" s="8" t="s">
        <v>4</v>
      </c>
      <c r="F124" s="110" t="s">
        <v>5</v>
      </c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2"/>
    </row>
    <row r="125" spans="2:17" ht="15" x14ac:dyDescent="0.2">
      <c r="B125" s="4" t="s">
        <v>11</v>
      </c>
      <c r="C125" s="90"/>
      <c r="D125" s="93"/>
      <c r="E125" s="9" t="s">
        <v>6</v>
      </c>
      <c r="F125" s="9">
        <v>9.8000000000000007</v>
      </c>
      <c r="G125" s="9">
        <v>11</v>
      </c>
      <c r="H125" s="10">
        <v>11.8</v>
      </c>
      <c r="I125" s="9">
        <v>12.6</v>
      </c>
      <c r="J125" s="9">
        <v>13</v>
      </c>
      <c r="K125" s="10">
        <v>15.8</v>
      </c>
      <c r="L125" s="9">
        <v>22.6</v>
      </c>
      <c r="M125" s="9">
        <v>30.4</v>
      </c>
      <c r="N125" s="10">
        <v>39.200000000000003</v>
      </c>
      <c r="O125" s="9">
        <v>49.6</v>
      </c>
      <c r="P125" s="9">
        <v>61</v>
      </c>
      <c r="Q125" s="10">
        <v>72</v>
      </c>
    </row>
    <row r="126" spans="2:17" ht="15" x14ac:dyDescent="0.2">
      <c r="B126" s="5">
        <v>42256</v>
      </c>
      <c r="C126" s="90"/>
      <c r="D126" s="93"/>
      <c r="E126" s="9" t="s">
        <v>7</v>
      </c>
      <c r="F126" s="9">
        <v>-5</v>
      </c>
      <c r="G126" s="9">
        <v>-7</v>
      </c>
      <c r="H126" s="10">
        <v>-9.1999999999999993</v>
      </c>
      <c r="I126" s="9">
        <v>-11.8</v>
      </c>
      <c r="J126" s="9">
        <v>-15.2</v>
      </c>
      <c r="K126" s="10">
        <v>-32.200000000000003</v>
      </c>
      <c r="L126" s="9">
        <v>-65.400000000000006</v>
      </c>
      <c r="M126" s="9">
        <v>-99</v>
      </c>
      <c r="N126" s="10">
        <v>-132.80000000000001</v>
      </c>
      <c r="O126" s="9">
        <v>-168.6</v>
      </c>
      <c r="P126" s="9">
        <v>-205</v>
      </c>
      <c r="Q126" s="10">
        <v>-242.4</v>
      </c>
    </row>
    <row r="127" spans="2:17" ht="15" x14ac:dyDescent="0.2">
      <c r="B127" s="6"/>
      <c r="C127" s="90"/>
      <c r="D127" s="93"/>
      <c r="E127" s="11" t="s">
        <v>8</v>
      </c>
      <c r="F127" s="12">
        <v>-5</v>
      </c>
      <c r="G127" s="12">
        <v>-3.5</v>
      </c>
      <c r="H127" s="12">
        <v>-3.1</v>
      </c>
      <c r="I127" s="12">
        <v>-3</v>
      </c>
      <c r="J127" s="12">
        <v>-3</v>
      </c>
      <c r="K127" s="12">
        <v>-3.2</v>
      </c>
      <c r="L127" s="12">
        <v>-3.3</v>
      </c>
      <c r="M127" s="12">
        <v>-3.3</v>
      </c>
      <c r="N127" s="12">
        <v>-3.3</v>
      </c>
      <c r="O127" s="12">
        <v>-3.4</v>
      </c>
      <c r="P127" s="12">
        <v>-3.4</v>
      </c>
      <c r="Q127" s="12">
        <v>-3.5</v>
      </c>
    </row>
    <row r="128" spans="2:17" ht="15" x14ac:dyDescent="0.2">
      <c r="B128" s="6"/>
      <c r="C128" s="90"/>
      <c r="D128" s="93"/>
      <c r="E128" s="8" t="s">
        <v>9</v>
      </c>
      <c r="F128" s="8">
        <v>0.81</v>
      </c>
      <c r="G128" s="8">
        <v>0.56999999999999995</v>
      </c>
      <c r="H128" s="13">
        <v>0.5</v>
      </c>
      <c r="I128" s="8">
        <v>0.48</v>
      </c>
      <c r="J128" s="8">
        <v>0.48</v>
      </c>
      <c r="K128" s="13">
        <v>0.52</v>
      </c>
      <c r="L128" s="8">
        <v>0.53</v>
      </c>
      <c r="M128" s="8">
        <v>0.53</v>
      </c>
      <c r="N128" s="13">
        <v>0.53</v>
      </c>
      <c r="O128" s="8">
        <v>0.55000000000000004</v>
      </c>
      <c r="P128" s="8">
        <v>0.55000000000000004</v>
      </c>
      <c r="Q128" s="13">
        <v>0.56999999999999995</v>
      </c>
    </row>
    <row r="129" spans="2:17" ht="15" x14ac:dyDescent="0.2">
      <c r="B129" s="7"/>
      <c r="C129" s="91"/>
      <c r="D129" s="94"/>
      <c r="E129" s="14" t="s">
        <v>10</v>
      </c>
      <c r="F129" s="14">
        <v>0.5</v>
      </c>
      <c r="G129" s="14">
        <v>0.6</v>
      </c>
      <c r="H129" s="15">
        <v>0.8</v>
      </c>
      <c r="I129" s="14">
        <v>0.9</v>
      </c>
      <c r="J129" s="14">
        <v>1.2</v>
      </c>
      <c r="K129" s="15">
        <v>2</v>
      </c>
      <c r="L129" s="14">
        <v>2.9</v>
      </c>
      <c r="M129" s="14">
        <v>3.3</v>
      </c>
      <c r="N129" s="15">
        <v>3.4</v>
      </c>
      <c r="O129" s="14">
        <v>3.4</v>
      </c>
      <c r="P129" s="14">
        <v>3.4</v>
      </c>
      <c r="Q129" s="15">
        <v>3.4</v>
      </c>
    </row>
    <row r="130" spans="2:17" x14ac:dyDescent="0.2">
      <c r="B130" s="95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7"/>
    </row>
    <row r="131" spans="2:17" x14ac:dyDescent="0.2">
      <c r="B131" s="98"/>
      <c r="C131" s="99"/>
      <c r="D131" s="99"/>
      <c r="E131" s="99"/>
      <c r="F131" s="99"/>
      <c r="G131" s="99"/>
      <c r="H131" s="99"/>
      <c r="I131" s="99"/>
      <c r="J131" s="99"/>
      <c r="K131" s="99"/>
      <c r="L131" s="99"/>
      <c r="M131" s="99"/>
      <c r="N131" s="99"/>
      <c r="O131" s="99"/>
      <c r="P131" s="99"/>
      <c r="Q131" s="100"/>
    </row>
    <row r="132" spans="2:17" ht="15" customHeight="1" x14ac:dyDescent="0.2">
      <c r="B132" s="3">
        <v>2100</v>
      </c>
      <c r="C132" s="89"/>
      <c r="D132" s="92"/>
      <c r="E132" s="8" t="s">
        <v>4</v>
      </c>
      <c r="F132" s="110" t="s">
        <v>5</v>
      </c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  <c r="Q132" s="112"/>
    </row>
    <row r="133" spans="2:17" ht="15" x14ac:dyDescent="0.2">
      <c r="B133" s="4" t="s">
        <v>3</v>
      </c>
      <c r="C133" s="90"/>
      <c r="D133" s="93"/>
      <c r="E133" s="9" t="s">
        <v>6</v>
      </c>
      <c r="F133" s="9">
        <v>10.199999999999999</v>
      </c>
      <c r="G133" s="9">
        <v>11.4</v>
      </c>
      <c r="H133" s="10">
        <v>12.4</v>
      </c>
      <c r="I133" s="9">
        <v>13</v>
      </c>
      <c r="J133" s="9">
        <v>13.6</v>
      </c>
      <c r="K133" s="10">
        <v>16.8</v>
      </c>
      <c r="L133" s="9">
        <v>22.8</v>
      </c>
      <c r="M133" s="9">
        <v>30.2</v>
      </c>
      <c r="N133" s="10">
        <v>38.799999999999997</v>
      </c>
      <c r="O133" s="9">
        <v>48.8</v>
      </c>
      <c r="P133" s="9">
        <v>59.2</v>
      </c>
      <c r="Q133" s="10">
        <v>70.400000000000006</v>
      </c>
    </row>
    <row r="134" spans="2:17" ht="15" x14ac:dyDescent="0.2">
      <c r="B134" s="5">
        <v>42286</v>
      </c>
      <c r="C134" s="90"/>
      <c r="D134" s="93"/>
      <c r="E134" s="9" t="s">
        <v>7</v>
      </c>
      <c r="F134" s="9">
        <v>-5</v>
      </c>
      <c r="G134" s="9">
        <v>-6.6</v>
      </c>
      <c r="H134" s="10">
        <v>-9.1999999999999993</v>
      </c>
      <c r="I134" s="9">
        <v>-11.8</v>
      </c>
      <c r="J134" s="9">
        <v>-15</v>
      </c>
      <c r="K134" s="10">
        <v>-31.2</v>
      </c>
      <c r="L134" s="9">
        <v>-67</v>
      </c>
      <c r="M134" s="9">
        <v>-105.6</v>
      </c>
      <c r="N134" s="10">
        <v>-144.80000000000001</v>
      </c>
      <c r="O134" s="9">
        <v>-187.2</v>
      </c>
      <c r="P134" s="9">
        <v>-230.6</v>
      </c>
      <c r="Q134" s="10">
        <v>-276.39999999999998</v>
      </c>
    </row>
    <row r="135" spans="2:17" ht="15" x14ac:dyDescent="0.2">
      <c r="B135" s="6"/>
      <c r="C135" s="90"/>
      <c r="D135" s="93"/>
      <c r="E135" s="11" t="s">
        <v>8</v>
      </c>
      <c r="F135" s="12">
        <v>-5</v>
      </c>
      <c r="G135" s="12">
        <v>-3.3</v>
      </c>
      <c r="H135" s="12">
        <v>-3.1</v>
      </c>
      <c r="I135" s="12">
        <v>-3</v>
      </c>
      <c r="J135" s="12">
        <v>-3</v>
      </c>
      <c r="K135" s="12">
        <v>-3.1</v>
      </c>
      <c r="L135" s="12">
        <v>-3.4</v>
      </c>
      <c r="M135" s="12">
        <v>-3.5</v>
      </c>
      <c r="N135" s="12">
        <v>-3.6</v>
      </c>
      <c r="O135" s="12">
        <v>-3.7</v>
      </c>
      <c r="P135" s="12">
        <v>-3.8</v>
      </c>
      <c r="Q135" s="12">
        <v>-3.9</v>
      </c>
    </row>
    <row r="136" spans="2:17" ht="15" x14ac:dyDescent="0.2">
      <c r="B136" s="6"/>
      <c r="C136" s="90"/>
      <c r="D136" s="93"/>
      <c r="E136" s="8" t="s">
        <v>9</v>
      </c>
      <c r="F136" s="8">
        <v>0.81</v>
      </c>
      <c r="G136" s="8">
        <v>0.53</v>
      </c>
      <c r="H136" s="13">
        <v>0.5</v>
      </c>
      <c r="I136" s="8">
        <v>0.48</v>
      </c>
      <c r="J136" s="8">
        <v>0.48</v>
      </c>
      <c r="K136" s="13">
        <v>0.5</v>
      </c>
      <c r="L136" s="8">
        <v>0.55000000000000004</v>
      </c>
      <c r="M136" s="8">
        <v>0.56999999999999995</v>
      </c>
      <c r="N136" s="13">
        <v>0.57999999999999996</v>
      </c>
      <c r="O136" s="8">
        <v>0.6</v>
      </c>
      <c r="P136" s="8">
        <v>0.61</v>
      </c>
      <c r="Q136" s="13">
        <v>0.63</v>
      </c>
    </row>
    <row r="137" spans="2:17" ht="15" x14ac:dyDescent="0.2">
      <c r="B137" s="7"/>
      <c r="C137" s="91"/>
      <c r="D137" s="94"/>
      <c r="E137" s="14" t="s">
        <v>10</v>
      </c>
      <c r="F137" s="14">
        <v>0.5</v>
      </c>
      <c r="G137" s="14">
        <v>0.6</v>
      </c>
      <c r="H137" s="15">
        <v>0.7</v>
      </c>
      <c r="I137" s="14">
        <v>0.9</v>
      </c>
      <c r="J137" s="14">
        <v>1.1000000000000001</v>
      </c>
      <c r="K137" s="15">
        <v>1.9</v>
      </c>
      <c r="L137" s="14">
        <v>2.9</v>
      </c>
      <c r="M137" s="14">
        <v>3.5</v>
      </c>
      <c r="N137" s="15">
        <v>3.7</v>
      </c>
      <c r="O137" s="14">
        <v>3.8</v>
      </c>
      <c r="P137" s="14">
        <v>3.9</v>
      </c>
      <c r="Q137" s="15">
        <v>3.9</v>
      </c>
    </row>
    <row r="138" spans="2:17" x14ac:dyDescent="0.2">
      <c r="B138" s="95"/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7"/>
    </row>
    <row r="139" spans="2:17" x14ac:dyDescent="0.2">
      <c r="B139" s="98"/>
      <c r="C139" s="99"/>
      <c r="D139" s="99"/>
      <c r="E139" s="99"/>
      <c r="F139" s="99"/>
      <c r="G139" s="99"/>
      <c r="H139" s="99"/>
      <c r="I139" s="99"/>
      <c r="J139" s="99"/>
      <c r="K139" s="99"/>
      <c r="L139" s="99"/>
      <c r="M139" s="99"/>
      <c r="N139" s="99"/>
      <c r="O139" s="99"/>
      <c r="P139" s="99"/>
      <c r="Q139" s="100"/>
    </row>
    <row r="140" spans="2:17" ht="15" customHeight="1" x14ac:dyDescent="0.2">
      <c r="B140" s="3">
        <v>2126</v>
      </c>
      <c r="C140" s="89"/>
      <c r="D140" s="92"/>
      <c r="E140" s="8" t="s">
        <v>4</v>
      </c>
      <c r="F140" s="110" t="s">
        <v>5</v>
      </c>
      <c r="G140" s="111"/>
      <c r="H140" s="111"/>
      <c r="I140" s="111"/>
      <c r="J140" s="111"/>
      <c r="K140" s="111"/>
      <c r="L140" s="111"/>
      <c r="M140" s="111"/>
      <c r="N140" s="111"/>
      <c r="O140" s="111"/>
      <c r="P140" s="111"/>
      <c r="Q140" s="112"/>
    </row>
    <row r="141" spans="2:17" ht="15" x14ac:dyDescent="0.2">
      <c r="B141" s="4" t="s">
        <v>11</v>
      </c>
      <c r="C141" s="90"/>
      <c r="D141" s="93"/>
      <c r="E141" s="9" t="s">
        <v>6</v>
      </c>
      <c r="F141" s="9">
        <v>11</v>
      </c>
      <c r="G141" s="9">
        <v>13.2</v>
      </c>
      <c r="H141" s="10">
        <v>14.8</v>
      </c>
      <c r="I141" s="9">
        <v>16</v>
      </c>
      <c r="J141" s="9">
        <v>17.2</v>
      </c>
      <c r="K141" s="10">
        <v>21</v>
      </c>
      <c r="L141" s="9">
        <v>28.6</v>
      </c>
      <c r="M141" s="9">
        <v>36.6</v>
      </c>
      <c r="N141" s="10">
        <v>46</v>
      </c>
      <c r="O141" s="9">
        <v>56.2</v>
      </c>
      <c r="P141" s="9">
        <v>66.599999999999994</v>
      </c>
      <c r="Q141" s="10">
        <v>78.400000000000006</v>
      </c>
    </row>
    <row r="142" spans="2:17" ht="15" x14ac:dyDescent="0.2">
      <c r="B142" s="5">
        <v>42312</v>
      </c>
      <c r="C142" s="90"/>
      <c r="D142" s="93"/>
      <c r="E142" s="9" t="s">
        <v>7</v>
      </c>
      <c r="F142" s="9">
        <v>-4.8</v>
      </c>
      <c r="G142" s="9">
        <v>-6.6</v>
      </c>
      <c r="H142" s="10">
        <v>-9.1999999999999993</v>
      </c>
      <c r="I142" s="9">
        <v>-12.2</v>
      </c>
      <c r="J142" s="9">
        <v>-15.8</v>
      </c>
      <c r="K142" s="10">
        <v>-33.200000000000003</v>
      </c>
      <c r="L142" s="9">
        <v>-67</v>
      </c>
      <c r="M142" s="9">
        <v>-100.2</v>
      </c>
      <c r="N142" s="10">
        <v>-134.4</v>
      </c>
      <c r="O142" s="9">
        <v>-170.2</v>
      </c>
      <c r="P142" s="9">
        <v>-205.8</v>
      </c>
      <c r="Q142" s="10">
        <v>-242.6</v>
      </c>
    </row>
    <row r="143" spans="2:17" ht="15" x14ac:dyDescent="0.2">
      <c r="B143" s="6"/>
      <c r="C143" s="90"/>
      <c r="D143" s="93"/>
      <c r="E143" s="11" t="s">
        <v>8</v>
      </c>
      <c r="F143" s="12">
        <v>-4.8</v>
      </c>
      <c r="G143" s="12">
        <v>-3.3</v>
      </c>
      <c r="H143" s="12">
        <v>-3.1</v>
      </c>
      <c r="I143" s="12">
        <v>-3.1</v>
      </c>
      <c r="J143" s="12">
        <v>-3.2</v>
      </c>
      <c r="K143" s="12">
        <v>-3.3</v>
      </c>
      <c r="L143" s="12">
        <v>-3.4</v>
      </c>
      <c r="M143" s="12">
        <v>-3.3</v>
      </c>
      <c r="N143" s="12">
        <v>-3.4</v>
      </c>
      <c r="O143" s="12">
        <v>-3.4</v>
      </c>
      <c r="P143" s="12">
        <v>-3.4</v>
      </c>
      <c r="Q143" s="12">
        <v>-3.5</v>
      </c>
    </row>
    <row r="144" spans="2:17" ht="15" x14ac:dyDescent="0.2">
      <c r="B144" s="6"/>
      <c r="C144" s="90"/>
      <c r="D144" s="93"/>
      <c r="E144" s="8" t="s">
        <v>9</v>
      </c>
      <c r="F144" s="8">
        <v>0.78</v>
      </c>
      <c r="G144" s="8">
        <v>0.53</v>
      </c>
      <c r="H144" s="13">
        <v>0.5</v>
      </c>
      <c r="I144" s="8">
        <v>0.5</v>
      </c>
      <c r="J144" s="8">
        <v>0.52</v>
      </c>
      <c r="K144" s="13">
        <v>0.53</v>
      </c>
      <c r="L144" s="8">
        <v>0.55000000000000004</v>
      </c>
      <c r="M144" s="8">
        <v>0.53</v>
      </c>
      <c r="N144" s="13">
        <v>0.55000000000000004</v>
      </c>
      <c r="O144" s="8">
        <v>0.55000000000000004</v>
      </c>
      <c r="P144" s="8">
        <v>0.55000000000000004</v>
      </c>
      <c r="Q144" s="13">
        <v>0.56999999999999995</v>
      </c>
    </row>
    <row r="145" spans="2:17" ht="15" x14ac:dyDescent="0.2">
      <c r="B145" s="7"/>
      <c r="C145" s="91"/>
      <c r="D145" s="94"/>
      <c r="E145" s="14" t="s">
        <v>10</v>
      </c>
      <c r="F145" s="14">
        <v>0.4</v>
      </c>
      <c r="G145" s="14">
        <v>0.5</v>
      </c>
      <c r="H145" s="15">
        <v>0.6</v>
      </c>
      <c r="I145" s="14">
        <v>0.8</v>
      </c>
      <c r="J145" s="14">
        <v>0.9</v>
      </c>
      <c r="K145" s="15">
        <v>1.6</v>
      </c>
      <c r="L145" s="14">
        <v>2.2999999999999998</v>
      </c>
      <c r="M145" s="14">
        <v>2.7</v>
      </c>
      <c r="N145" s="15">
        <v>2.9</v>
      </c>
      <c r="O145" s="14">
        <v>3</v>
      </c>
      <c r="P145" s="14">
        <v>3.1</v>
      </c>
      <c r="Q145" s="15">
        <v>3.1</v>
      </c>
    </row>
    <row r="146" spans="2:17" x14ac:dyDescent="0.2">
      <c r="B146" s="95"/>
      <c r="C146" s="96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6"/>
      <c r="P146" s="96"/>
      <c r="Q146" s="97"/>
    </row>
    <row r="147" spans="2:17" x14ac:dyDescent="0.2">
      <c r="B147" s="98"/>
      <c r="C147" s="99"/>
      <c r="D147" s="99"/>
      <c r="E147" s="99"/>
      <c r="F147" s="99"/>
      <c r="G147" s="99"/>
      <c r="H147" s="99"/>
      <c r="I147" s="99"/>
      <c r="J147" s="99"/>
      <c r="K147" s="99"/>
      <c r="L147" s="99"/>
      <c r="M147" s="99"/>
      <c r="N147" s="99"/>
      <c r="O147" s="99"/>
      <c r="P147" s="99"/>
      <c r="Q147" s="100"/>
    </row>
    <row r="148" spans="2:17" ht="15" customHeight="1" x14ac:dyDescent="0.2">
      <c r="B148" s="3">
        <v>2127</v>
      </c>
      <c r="C148" s="89"/>
      <c r="D148" s="92"/>
      <c r="E148" s="8" t="s">
        <v>4</v>
      </c>
      <c r="F148" s="110" t="s">
        <v>5</v>
      </c>
      <c r="G148" s="111"/>
      <c r="H148" s="111"/>
      <c r="I148" s="111"/>
      <c r="J148" s="111"/>
      <c r="K148" s="111"/>
      <c r="L148" s="111"/>
      <c r="M148" s="111"/>
      <c r="N148" s="111"/>
      <c r="O148" s="111"/>
      <c r="P148" s="111"/>
      <c r="Q148" s="112"/>
    </row>
    <row r="149" spans="2:17" ht="15" x14ac:dyDescent="0.2">
      <c r="B149" s="4" t="s">
        <v>3</v>
      </c>
      <c r="C149" s="90"/>
      <c r="D149" s="93"/>
      <c r="E149" s="9" t="s">
        <v>6</v>
      </c>
      <c r="F149" s="9">
        <v>10.199999999999999</v>
      </c>
      <c r="G149" s="9">
        <v>12.8</v>
      </c>
      <c r="H149" s="10">
        <v>15.4</v>
      </c>
      <c r="I149" s="9">
        <v>17.2</v>
      </c>
      <c r="J149" s="9">
        <v>18.399999999999999</v>
      </c>
      <c r="K149" s="10">
        <v>23.2</v>
      </c>
      <c r="L149" s="9">
        <v>31.6</v>
      </c>
      <c r="M149" s="9">
        <v>40</v>
      </c>
      <c r="N149" s="10">
        <v>49.4</v>
      </c>
      <c r="O149" s="9">
        <v>59.4</v>
      </c>
      <c r="P149" s="9">
        <v>70</v>
      </c>
      <c r="Q149" s="10">
        <v>81.2</v>
      </c>
    </row>
    <row r="150" spans="2:17" ht="15" x14ac:dyDescent="0.2">
      <c r="B150" s="5">
        <v>42315</v>
      </c>
      <c r="C150" s="90"/>
      <c r="D150" s="93"/>
      <c r="E150" s="9" t="s">
        <v>7</v>
      </c>
      <c r="F150" s="9">
        <v>-4.4000000000000004</v>
      </c>
      <c r="G150" s="9">
        <v>-6.8</v>
      </c>
      <c r="H150" s="10">
        <v>-9.8000000000000007</v>
      </c>
      <c r="I150" s="9">
        <v>-12.8</v>
      </c>
      <c r="J150" s="9">
        <v>-17</v>
      </c>
      <c r="K150" s="10">
        <v>-36.200000000000003</v>
      </c>
      <c r="L150" s="9">
        <v>-72.599999999999994</v>
      </c>
      <c r="M150" s="9">
        <v>-108.8</v>
      </c>
      <c r="N150" s="10">
        <v>-144.80000000000001</v>
      </c>
      <c r="O150" s="9">
        <v>-182.4</v>
      </c>
      <c r="P150" s="9">
        <v>-220.2</v>
      </c>
      <c r="Q150" s="10">
        <v>-257.39999999999998</v>
      </c>
    </row>
    <row r="151" spans="2:17" ht="15" x14ac:dyDescent="0.2">
      <c r="B151" s="6"/>
      <c r="C151" s="90"/>
      <c r="D151" s="93"/>
      <c r="E151" s="11" t="s">
        <v>8</v>
      </c>
      <c r="F151" s="12">
        <v>-4.4000000000000004</v>
      </c>
      <c r="G151" s="12">
        <v>-3.4</v>
      </c>
      <c r="H151" s="12">
        <v>-3.3</v>
      </c>
      <c r="I151" s="12">
        <v>-3.2</v>
      </c>
      <c r="J151" s="12">
        <v>-3.4</v>
      </c>
      <c r="K151" s="12">
        <v>-3.6</v>
      </c>
      <c r="L151" s="12">
        <v>-3.6</v>
      </c>
      <c r="M151" s="12">
        <v>-3.6</v>
      </c>
      <c r="N151" s="12">
        <v>-3.6</v>
      </c>
      <c r="O151" s="12">
        <v>-3.6</v>
      </c>
      <c r="P151" s="12">
        <v>-3.7</v>
      </c>
      <c r="Q151" s="12">
        <v>-3.7</v>
      </c>
    </row>
    <row r="152" spans="2:17" ht="15" x14ac:dyDescent="0.2">
      <c r="B152" s="6"/>
      <c r="C152" s="90"/>
      <c r="D152" s="93"/>
      <c r="E152" s="8" t="s">
        <v>9</v>
      </c>
      <c r="F152" s="8">
        <v>0.71</v>
      </c>
      <c r="G152" s="8">
        <v>0.55000000000000004</v>
      </c>
      <c r="H152" s="13">
        <v>0.53</v>
      </c>
      <c r="I152" s="8">
        <v>0.52</v>
      </c>
      <c r="J152" s="8">
        <v>0.55000000000000004</v>
      </c>
      <c r="K152" s="13">
        <v>0.57999999999999996</v>
      </c>
      <c r="L152" s="8">
        <v>0.57999999999999996</v>
      </c>
      <c r="M152" s="8">
        <v>0.57999999999999996</v>
      </c>
      <c r="N152" s="13">
        <v>0.57999999999999996</v>
      </c>
      <c r="O152" s="8">
        <v>0.57999999999999996</v>
      </c>
      <c r="P152" s="8">
        <v>0.6</v>
      </c>
      <c r="Q152" s="13">
        <v>0.6</v>
      </c>
    </row>
    <row r="153" spans="2:17" ht="15" x14ac:dyDescent="0.2">
      <c r="B153" s="7"/>
      <c r="C153" s="91"/>
      <c r="D153" s="94"/>
      <c r="E153" s="14" t="s">
        <v>10</v>
      </c>
      <c r="F153" s="14">
        <v>0.4</v>
      </c>
      <c r="G153" s="14">
        <v>0.5</v>
      </c>
      <c r="H153" s="15">
        <v>0.6</v>
      </c>
      <c r="I153" s="14">
        <v>0.7</v>
      </c>
      <c r="J153" s="14">
        <v>0.9</v>
      </c>
      <c r="K153" s="15">
        <v>1.6</v>
      </c>
      <c r="L153" s="14">
        <v>2.2999999999999998</v>
      </c>
      <c r="M153" s="14">
        <v>2.7</v>
      </c>
      <c r="N153" s="15">
        <v>2.9</v>
      </c>
      <c r="O153" s="14">
        <v>3.1</v>
      </c>
      <c r="P153" s="14">
        <v>3.1</v>
      </c>
      <c r="Q153" s="15">
        <v>3.2</v>
      </c>
    </row>
    <row r="154" spans="2:17" x14ac:dyDescent="0.2">
      <c r="B154" s="95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7"/>
    </row>
    <row r="155" spans="2:17" x14ac:dyDescent="0.2">
      <c r="B155" s="98"/>
      <c r="C155" s="99"/>
      <c r="D155" s="99"/>
      <c r="E155" s="99"/>
      <c r="F155" s="99"/>
      <c r="G155" s="99"/>
      <c r="H155" s="99"/>
      <c r="I155" s="99"/>
      <c r="J155" s="99"/>
      <c r="K155" s="99"/>
      <c r="L155" s="99"/>
      <c r="M155" s="99"/>
      <c r="N155" s="99"/>
      <c r="O155" s="99"/>
      <c r="P155" s="99"/>
      <c r="Q155" s="100"/>
    </row>
    <row r="156" spans="2:17" ht="15" customHeight="1" x14ac:dyDescent="0.2">
      <c r="B156" s="3">
        <v>2132</v>
      </c>
      <c r="C156" s="89"/>
      <c r="D156" s="92"/>
      <c r="E156" s="8" t="s">
        <v>4</v>
      </c>
      <c r="F156" s="110" t="s">
        <v>5</v>
      </c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2"/>
    </row>
    <row r="157" spans="2:17" ht="30" x14ac:dyDescent="0.2">
      <c r="B157" s="4" t="s">
        <v>17</v>
      </c>
      <c r="C157" s="90"/>
      <c r="D157" s="93"/>
      <c r="E157" s="9" t="s">
        <v>6</v>
      </c>
      <c r="F157" s="9">
        <v>11.8</v>
      </c>
      <c r="G157" s="9">
        <v>15</v>
      </c>
      <c r="H157" s="10">
        <v>17.8</v>
      </c>
      <c r="I157" s="9">
        <v>20.399999999999999</v>
      </c>
      <c r="J157" s="9">
        <v>23</v>
      </c>
      <c r="K157" s="10">
        <v>29.6</v>
      </c>
      <c r="L157" s="9">
        <v>38.200000000000003</v>
      </c>
      <c r="M157" s="9">
        <v>47.4</v>
      </c>
      <c r="N157" s="10">
        <v>57.2</v>
      </c>
      <c r="O157" s="9">
        <v>68.400000000000006</v>
      </c>
      <c r="P157" s="9">
        <v>79.2</v>
      </c>
      <c r="Q157" s="10">
        <v>90.2</v>
      </c>
    </row>
    <row r="158" spans="2:17" ht="15" x14ac:dyDescent="0.2">
      <c r="B158" s="5">
        <v>42313</v>
      </c>
      <c r="C158" s="90"/>
      <c r="D158" s="93"/>
      <c r="E158" s="9" t="s">
        <v>7</v>
      </c>
      <c r="F158" s="9">
        <v>-5.4</v>
      </c>
      <c r="G158" s="9">
        <v>-8</v>
      </c>
      <c r="H158" s="10">
        <v>-11</v>
      </c>
      <c r="I158" s="9">
        <v>-14.2</v>
      </c>
      <c r="J158" s="9">
        <v>-18.399999999999999</v>
      </c>
      <c r="K158" s="10">
        <v>-38.799999999999997</v>
      </c>
      <c r="L158" s="9">
        <v>-79</v>
      </c>
      <c r="M158" s="9">
        <v>-119.2</v>
      </c>
      <c r="N158" s="10">
        <v>-159</v>
      </c>
      <c r="O158" s="9">
        <v>-201.2</v>
      </c>
      <c r="P158" s="9">
        <v>-242.6</v>
      </c>
      <c r="Q158" s="10">
        <v>-282.60000000000002</v>
      </c>
    </row>
    <row r="159" spans="2:17" ht="15" x14ac:dyDescent="0.2">
      <c r="B159" s="6"/>
      <c r="C159" s="90"/>
      <c r="D159" s="93"/>
      <c r="E159" s="11" t="s">
        <v>8</v>
      </c>
      <c r="F159" s="12">
        <v>-5.4</v>
      </c>
      <c r="G159" s="12">
        <v>-4</v>
      </c>
      <c r="H159" s="12">
        <v>-3.7</v>
      </c>
      <c r="I159" s="12">
        <v>-3.6</v>
      </c>
      <c r="J159" s="12">
        <v>-3.7</v>
      </c>
      <c r="K159" s="12">
        <v>-3.9</v>
      </c>
      <c r="L159" s="12">
        <v>-4</v>
      </c>
      <c r="M159" s="12">
        <v>-4</v>
      </c>
      <c r="N159" s="12">
        <v>-4</v>
      </c>
      <c r="O159" s="12">
        <v>-4</v>
      </c>
      <c r="P159" s="12">
        <v>-4</v>
      </c>
      <c r="Q159" s="12">
        <v>-4</v>
      </c>
    </row>
    <row r="160" spans="2:17" ht="15" x14ac:dyDescent="0.2">
      <c r="B160" s="6"/>
      <c r="C160" s="90"/>
      <c r="D160" s="93"/>
      <c r="E160" s="8" t="s">
        <v>9</v>
      </c>
      <c r="F160" s="8">
        <v>0.87</v>
      </c>
      <c r="G160" s="8">
        <v>0.65</v>
      </c>
      <c r="H160" s="13">
        <v>0.6</v>
      </c>
      <c r="I160" s="8">
        <v>0.57999999999999996</v>
      </c>
      <c r="J160" s="8">
        <v>0.6</v>
      </c>
      <c r="K160" s="13">
        <v>0.63</v>
      </c>
      <c r="L160" s="8">
        <v>0.65</v>
      </c>
      <c r="M160" s="8">
        <v>0.65</v>
      </c>
      <c r="N160" s="13">
        <v>0.65</v>
      </c>
      <c r="O160" s="8">
        <v>0.65</v>
      </c>
      <c r="P160" s="8">
        <v>0.65</v>
      </c>
      <c r="Q160" s="13">
        <v>0.65</v>
      </c>
    </row>
    <row r="161" spans="1:17" ht="15" x14ac:dyDescent="0.2">
      <c r="B161" s="7"/>
      <c r="C161" s="91"/>
      <c r="D161" s="94"/>
      <c r="E161" s="14" t="s">
        <v>10</v>
      </c>
      <c r="F161" s="14">
        <v>0.5</v>
      </c>
      <c r="G161" s="14">
        <v>0.5</v>
      </c>
      <c r="H161" s="15">
        <v>0.6</v>
      </c>
      <c r="I161" s="14">
        <v>0.7</v>
      </c>
      <c r="J161" s="14">
        <v>0.8</v>
      </c>
      <c r="K161" s="15">
        <v>1.3</v>
      </c>
      <c r="L161" s="14">
        <v>2.1</v>
      </c>
      <c r="M161" s="14">
        <v>2.5</v>
      </c>
      <c r="N161" s="15">
        <v>2.8</v>
      </c>
      <c r="O161" s="14">
        <v>2.9</v>
      </c>
      <c r="P161" s="14">
        <v>3.1</v>
      </c>
      <c r="Q161" s="15">
        <v>3.1</v>
      </c>
    </row>
    <row r="162" spans="1:17" x14ac:dyDescent="0.2">
      <c r="B162" s="95"/>
      <c r="C162" s="96"/>
      <c r="D162" s="96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7"/>
    </row>
    <row r="163" spans="1:17" x14ac:dyDescent="0.2">
      <c r="B163" s="98"/>
      <c r="C163" s="99"/>
      <c r="D163" s="99"/>
      <c r="E163" s="99"/>
      <c r="F163" s="99"/>
      <c r="G163" s="99"/>
      <c r="H163" s="99"/>
      <c r="I163" s="99"/>
      <c r="J163" s="99"/>
      <c r="K163" s="99"/>
      <c r="L163" s="99"/>
      <c r="M163" s="99"/>
      <c r="N163" s="99"/>
      <c r="O163" s="99"/>
      <c r="P163" s="99"/>
      <c r="Q163" s="100"/>
    </row>
    <row r="164" spans="1:17" ht="15" customHeight="1" x14ac:dyDescent="0.2">
      <c r="B164" s="3">
        <v>2133</v>
      </c>
      <c r="C164" s="89"/>
      <c r="D164" s="92"/>
      <c r="E164" s="8" t="s">
        <v>4</v>
      </c>
      <c r="F164" s="110" t="s">
        <v>5</v>
      </c>
      <c r="G164" s="111"/>
      <c r="H164" s="111"/>
      <c r="I164" s="111"/>
      <c r="J164" s="111"/>
      <c r="K164" s="111"/>
      <c r="L164" s="111"/>
      <c r="M164" s="111"/>
      <c r="N164" s="111"/>
      <c r="O164" s="111"/>
      <c r="P164" s="111"/>
      <c r="Q164" s="112"/>
    </row>
    <row r="165" spans="1:17" ht="15" x14ac:dyDescent="0.2">
      <c r="B165" s="4" t="s">
        <v>3</v>
      </c>
      <c r="C165" s="90"/>
      <c r="D165" s="93"/>
      <c r="E165" s="9" t="s">
        <v>6</v>
      </c>
      <c r="F165" s="9">
        <v>11.6</v>
      </c>
      <c r="G165" s="9">
        <v>14.8</v>
      </c>
      <c r="H165" s="10">
        <v>17.8</v>
      </c>
      <c r="I165" s="9">
        <v>20</v>
      </c>
      <c r="J165" s="9">
        <v>21.8</v>
      </c>
      <c r="K165" s="10">
        <v>27.6</v>
      </c>
      <c r="L165" s="9">
        <v>36</v>
      </c>
      <c r="M165" s="9">
        <v>44.4</v>
      </c>
      <c r="N165" s="10">
        <v>54</v>
      </c>
      <c r="O165" s="9">
        <v>63.8</v>
      </c>
      <c r="P165" s="9">
        <v>75.8</v>
      </c>
      <c r="Q165" s="10">
        <v>86.6</v>
      </c>
    </row>
    <row r="166" spans="1:17" ht="15" x14ac:dyDescent="0.2">
      <c r="B166" s="5">
        <v>42313</v>
      </c>
      <c r="C166" s="90"/>
      <c r="D166" s="93"/>
      <c r="E166" s="9" t="s">
        <v>7</v>
      </c>
      <c r="F166" s="9">
        <v>-5.8</v>
      </c>
      <c r="G166" s="9">
        <v>-7.8</v>
      </c>
      <c r="H166" s="10">
        <v>-10.4</v>
      </c>
      <c r="I166" s="9">
        <v>-13.8</v>
      </c>
      <c r="J166" s="9">
        <v>-17.2</v>
      </c>
      <c r="K166" s="10">
        <v>-36.200000000000003</v>
      </c>
      <c r="L166" s="9">
        <v>-75.599999999999994</v>
      </c>
      <c r="M166" s="9">
        <v>-116.4</v>
      </c>
      <c r="N166" s="10">
        <v>-158.4</v>
      </c>
      <c r="O166" s="9">
        <v>-201.4</v>
      </c>
      <c r="P166" s="9">
        <v>-240.8</v>
      </c>
      <c r="Q166" s="10">
        <v>-281.39999999999998</v>
      </c>
    </row>
    <row r="167" spans="1:17" ht="15" x14ac:dyDescent="0.2">
      <c r="B167" s="6"/>
      <c r="C167" s="90"/>
      <c r="D167" s="93"/>
      <c r="E167" s="11" t="s">
        <v>8</v>
      </c>
      <c r="F167" s="12">
        <v>-5.8</v>
      </c>
      <c r="G167" s="12">
        <v>-3.9</v>
      </c>
      <c r="H167" s="12">
        <v>-3.5</v>
      </c>
      <c r="I167" s="12">
        <v>-3.5</v>
      </c>
      <c r="J167" s="12">
        <v>-3.4</v>
      </c>
      <c r="K167" s="12">
        <v>-3.6</v>
      </c>
      <c r="L167" s="12">
        <v>-3.8</v>
      </c>
      <c r="M167" s="12">
        <v>-3.9</v>
      </c>
      <c r="N167" s="12">
        <v>-4</v>
      </c>
      <c r="O167" s="12">
        <v>-4</v>
      </c>
      <c r="P167" s="12">
        <v>-4</v>
      </c>
      <c r="Q167" s="12">
        <v>-4</v>
      </c>
    </row>
    <row r="168" spans="1:17" ht="15" x14ac:dyDescent="0.2">
      <c r="B168" s="6"/>
      <c r="C168" s="90"/>
      <c r="D168" s="93"/>
      <c r="E168" s="8" t="s">
        <v>9</v>
      </c>
      <c r="F168" s="8">
        <v>0.94</v>
      </c>
      <c r="G168" s="8">
        <v>0.63</v>
      </c>
      <c r="H168" s="13">
        <v>0.56999999999999995</v>
      </c>
      <c r="I168" s="8">
        <v>0.56999999999999995</v>
      </c>
      <c r="J168" s="8">
        <v>0.55000000000000004</v>
      </c>
      <c r="K168" s="13">
        <v>0.57999999999999996</v>
      </c>
      <c r="L168" s="8">
        <v>0.61</v>
      </c>
      <c r="M168" s="8">
        <v>0.63</v>
      </c>
      <c r="N168" s="13">
        <v>0.65</v>
      </c>
      <c r="O168" s="8">
        <v>0.65</v>
      </c>
      <c r="P168" s="8">
        <v>0.65</v>
      </c>
      <c r="Q168" s="13">
        <v>0.65</v>
      </c>
    </row>
    <row r="169" spans="1:17" ht="15" x14ac:dyDescent="0.2">
      <c r="B169" s="7"/>
      <c r="C169" s="91"/>
      <c r="D169" s="94"/>
      <c r="E169" s="14" t="s">
        <v>10</v>
      </c>
      <c r="F169" s="14">
        <v>0.5</v>
      </c>
      <c r="G169" s="14">
        <v>0.5</v>
      </c>
      <c r="H169" s="15">
        <v>0.6</v>
      </c>
      <c r="I169" s="14">
        <v>0.7</v>
      </c>
      <c r="J169" s="14">
        <v>0.8</v>
      </c>
      <c r="K169" s="15">
        <v>1.3</v>
      </c>
      <c r="L169" s="14">
        <v>2.1</v>
      </c>
      <c r="M169" s="14">
        <v>2.6</v>
      </c>
      <c r="N169" s="15">
        <v>2.9</v>
      </c>
      <c r="O169" s="14">
        <v>3.2</v>
      </c>
      <c r="P169" s="14">
        <v>3.2</v>
      </c>
      <c r="Q169" s="15">
        <v>3.2</v>
      </c>
    </row>
    <row r="170" spans="1:17" x14ac:dyDescent="0.2">
      <c r="B170" s="95"/>
      <c r="C170" s="96"/>
      <c r="D170" s="96"/>
      <c r="E170" s="96"/>
      <c r="F170" s="96"/>
      <c r="G170" s="96"/>
      <c r="H170" s="96"/>
      <c r="I170" s="96"/>
      <c r="J170" s="96"/>
      <c r="K170" s="96"/>
      <c r="L170" s="96"/>
      <c r="M170" s="96"/>
      <c r="N170" s="96"/>
      <c r="O170" s="96"/>
      <c r="P170" s="96"/>
      <c r="Q170" s="97"/>
    </row>
    <row r="171" spans="1:17" x14ac:dyDescent="0.2">
      <c r="B171" s="98"/>
      <c r="C171" s="99"/>
      <c r="D171" s="99"/>
      <c r="E171" s="99"/>
      <c r="F171" s="99"/>
      <c r="G171" s="99"/>
      <c r="H171" s="99"/>
      <c r="I171" s="99"/>
      <c r="J171" s="99"/>
      <c r="K171" s="99"/>
      <c r="L171" s="99"/>
      <c r="M171" s="99"/>
      <c r="N171" s="99"/>
      <c r="O171" s="99"/>
      <c r="P171" s="99"/>
      <c r="Q171" s="100"/>
    </row>
    <row r="172" spans="1:17" ht="15" x14ac:dyDescent="0.2"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</row>
    <row r="173" spans="1:17" ht="15" x14ac:dyDescent="0.2">
      <c r="A173" s="17"/>
      <c r="B173" s="88"/>
      <c r="C173" s="88"/>
      <c r="D173" s="88"/>
      <c r="E173" s="88"/>
      <c r="F173" s="88"/>
      <c r="G173" s="88"/>
      <c r="H173" s="88"/>
      <c r="I173" s="88"/>
      <c r="J173" s="88"/>
      <c r="K173" s="88"/>
      <c r="L173" s="88"/>
      <c r="M173" s="88"/>
      <c r="N173" s="88"/>
      <c r="O173" s="88"/>
      <c r="P173" s="88"/>
      <c r="Q173" s="88"/>
    </row>
    <row r="176" spans="1:17" x14ac:dyDescent="0.2">
      <c r="E176" s="59" t="s">
        <v>25</v>
      </c>
      <c r="F176" s="60">
        <v>0.96</v>
      </c>
    </row>
    <row r="177" spans="2:18" x14ac:dyDescent="0.2">
      <c r="E177" s="61" t="s">
        <v>26</v>
      </c>
      <c r="F177" s="62">
        <v>85</v>
      </c>
    </row>
    <row r="178" spans="2:18" x14ac:dyDescent="0.2">
      <c r="E178" s="61" t="s">
        <v>27</v>
      </c>
      <c r="F178" s="62">
        <v>0.9</v>
      </c>
    </row>
    <row r="181" spans="2:18" ht="15" x14ac:dyDescent="0.2">
      <c r="E181" s="1" t="s">
        <v>13</v>
      </c>
      <c r="F181" s="1">
        <v>1</v>
      </c>
      <c r="G181" s="1">
        <v>2</v>
      </c>
      <c r="H181" s="1">
        <v>3</v>
      </c>
      <c r="I181" s="1">
        <v>4</v>
      </c>
      <c r="J181" s="1">
        <v>5</v>
      </c>
      <c r="K181" s="1">
        <v>10</v>
      </c>
      <c r="L181" s="1">
        <v>20</v>
      </c>
      <c r="M181" s="1">
        <v>30</v>
      </c>
      <c r="N181" s="1">
        <v>40</v>
      </c>
      <c r="O181" s="1">
        <v>50</v>
      </c>
      <c r="P181" s="1">
        <v>60</v>
      </c>
      <c r="Q181" s="1">
        <v>70</v>
      </c>
    </row>
    <row r="182" spans="2:18" ht="13.5" x14ac:dyDescent="0.2">
      <c r="E182" s="9" t="s">
        <v>6</v>
      </c>
      <c r="F182" s="42">
        <f t="shared" ref="F182:Q182" si="0">F190/2</f>
        <v>5.12</v>
      </c>
      <c r="G182" s="42">
        <f t="shared" si="0"/>
        <v>6.29</v>
      </c>
      <c r="H182" s="43">
        <f t="shared" si="0"/>
        <v>7.3</v>
      </c>
      <c r="I182" s="42">
        <f t="shared" si="0"/>
        <v>8.1</v>
      </c>
      <c r="J182" s="42">
        <f t="shared" si="0"/>
        <v>8.8000000000000007</v>
      </c>
      <c r="K182" s="43">
        <f t="shared" si="0"/>
        <v>11</v>
      </c>
      <c r="L182" s="42">
        <f t="shared" si="0"/>
        <v>15</v>
      </c>
      <c r="M182" s="42">
        <f t="shared" si="0"/>
        <v>20</v>
      </c>
      <c r="N182" s="43">
        <f t="shared" si="0"/>
        <v>25</v>
      </c>
      <c r="O182" s="42">
        <f t="shared" si="0"/>
        <v>30.1</v>
      </c>
      <c r="P182" s="42">
        <f t="shared" si="0"/>
        <v>35.200000000000003</v>
      </c>
      <c r="Q182" s="43">
        <f t="shared" si="0"/>
        <v>40.4</v>
      </c>
    </row>
    <row r="183" spans="2:18" ht="13.5" x14ac:dyDescent="0.2">
      <c r="E183" s="9" t="s">
        <v>7</v>
      </c>
      <c r="F183" s="42">
        <f t="shared" ref="F183:Q183" si="1">F191/2</f>
        <v>-2.4</v>
      </c>
      <c r="G183" s="42">
        <f t="shared" si="1"/>
        <v>-4.25</v>
      </c>
      <c r="H183" s="43">
        <f t="shared" si="1"/>
        <v>-6</v>
      </c>
      <c r="I183" s="42">
        <f t="shared" si="1"/>
        <v>-7.75</v>
      </c>
      <c r="J183" s="42">
        <f t="shared" si="1"/>
        <v>-9.5</v>
      </c>
      <c r="K183" s="43">
        <f t="shared" si="1"/>
        <v>-19.5</v>
      </c>
      <c r="L183" s="42">
        <f t="shared" si="1"/>
        <v>-40</v>
      </c>
      <c r="M183" s="42">
        <f t="shared" si="1"/>
        <v>-61</v>
      </c>
      <c r="N183" s="43">
        <f t="shared" si="1"/>
        <v>-82.5</v>
      </c>
      <c r="O183" s="42">
        <f t="shared" si="1"/>
        <v>-105</v>
      </c>
      <c r="P183" s="42">
        <f t="shared" si="1"/>
        <v>-128.5</v>
      </c>
      <c r="Q183" s="43">
        <f t="shared" si="1"/>
        <v>-152.5</v>
      </c>
    </row>
    <row r="184" spans="2:18" ht="13.5" x14ac:dyDescent="0.2">
      <c r="E184" s="49"/>
      <c r="F184" s="50"/>
      <c r="G184" s="52"/>
      <c r="H184" s="52"/>
      <c r="I184" s="52"/>
      <c r="J184" s="52"/>
      <c r="K184" s="52"/>
      <c r="L184" s="52"/>
      <c r="M184" s="52"/>
      <c r="N184" s="52"/>
      <c r="P184" s="52"/>
      <c r="Q184" s="52"/>
    </row>
    <row r="185" spans="2:18" ht="13.5" x14ac:dyDescent="0.2">
      <c r="E185" s="49"/>
      <c r="F185" s="50"/>
      <c r="G185" s="52"/>
      <c r="H185" s="52"/>
      <c r="I185" s="52"/>
      <c r="J185" s="52"/>
      <c r="K185" s="52"/>
      <c r="L185" s="52"/>
      <c r="M185" s="52"/>
      <c r="N185" s="52"/>
      <c r="O185" s="51" t="s">
        <v>14</v>
      </c>
      <c r="P185" s="52"/>
      <c r="Q185" s="52"/>
    </row>
    <row r="186" spans="2:18" ht="13.5" x14ac:dyDescent="0.2">
      <c r="E186" s="9" t="s">
        <v>6</v>
      </c>
      <c r="F186" s="42">
        <v>10.24</v>
      </c>
      <c r="G186" s="42">
        <v>12.58</v>
      </c>
      <c r="H186" s="43">
        <v>14.600000000000003</v>
      </c>
      <c r="I186" s="42">
        <v>16.28</v>
      </c>
      <c r="J186" s="42">
        <v>17.520000000000003</v>
      </c>
      <c r="K186" s="43">
        <v>22.179999999999996</v>
      </c>
      <c r="L186" s="42">
        <v>30.119999999999997</v>
      </c>
      <c r="M186" s="42">
        <v>38.61999999999999</v>
      </c>
      <c r="N186" s="43">
        <v>48.239999999999995</v>
      </c>
      <c r="O186" s="42">
        <v>58.839999999999996</v>
      </c>
      <c r="P186" s="42">
        <v>69.94</v>
      </c>
      <c r="Q186" s="43">
        <v>81.28</v>
      </c>
      <c r="R186" s="18" t="s">
        <v>35</v>
      </c>
    </row>
    <row r="187" spans="2:18" ht="13.5" x14ac:dyDescent="0.2">
      <c r="E187" s="9" t="s">
        <v>7</v>
      </c>
      <c r="F187" s="42">
        <v>-5.4399999999999995</v>
      </c>
      <c r="G187" s="42">
        <v>-8.14</v>
      </c>
      <c r="H187" s="43">
        <v>-11.200000000000001</v>
      </c>
      <c r="I187" s="42">
        <v>-14.4</v>
      </c>
      <c r="J187" s="42">
        <v>-18.259999999999998</v>
      </c>
      <c r="K187" s="43">
        <v>-37.14</v>
      </c>
      <c r="L187" s="42">
        <v>-73.98</v>
      </c>
      <c r="M187" s="42">
        <v>-110.92</v>
      </c>
      <c r="N187" s="43">
        <v>-148.58000000000001</v>
      </c>
      <c r="O187" s="42">
        <v>-187.88000000000005</v>
      </c>
      <c r="P187" s="42">
        <v>-226.7</v>
      </c>
      <c r="Q187" s="43">
        <v>-265.76</v>
      </c>
      <c r="R187" s="18" t="s">
        <v>30</v>
      </c>
    </row>
    <row r="188" spans="2:18" ht="15" x14ac:dyDescent="0.2">
      <c r="E188" s="8" t="s">
        <v>9</v>
      </c>
      <c r="F188" s="45">
        <v>0.88100000000000001</v>
      </c>
      <c r="G188" s="45">
        <v>0.65800000000000003</v>
      </c>
      <c r="H188" s="46">
        <v>0.60599999999999998</v>
      </c>
      <c r="I188" s="45">
        <v>0.58699999999999997</v>
      </c>
      <c r="J188" s="45">
        <v>0.59199999999999997</v>
      </c>
      <c r="K188" s="46">
        <v>0.6</v>
      </c>
      <c r="L188" s="45">
        <v>0.59800000000000009</v>
      </c>
      <c r="M188" s="45">
        <v>0.59599999999999997</v>
      </c>
      <c r="N188" s="46">
        <v>0.60100000000000009</v>
      </c>
      <c r="O188" s="45">
        <v>0.60400000000000009</v>
      </c>
      <c r="P188" s="45">
        <v>0.6090000000000001</v>
      </c>
      <c r="Q188" s="46">
        <v>0.61199999999999999</v>
      </c>
      <c r="R188" t="s">
        <v>28</v>
      </c>
    </row>
    <row r="189" spans="2:18" ht="15" x14ac:dyDescent="0.2">
      <c r="B189" s="18" t="s">
        <v>22</v>
      </c>
      <c r="E189" s="1"/>
      <c r="F189" s="1">
        <v>1</v>
      </c>
      <c r="G189" s="1">
        <v>2</v>
      </c>
      <c r="H189" s="1">
        <v>3</v>
      </c>
      <c r="I189" s="1">
        <v>4</v>
      </c>
      <c r="J189" s="1">
        <v>5</v>
      </c>
      <c r="K189" s="1">
        <v>10</v>
      </c>
      <c r="L189" s="1">
        <v>20</v>
      </c>
      <c r="M189" s="1">
        <v>30</v>
      </c>
      <c r="N189" s="1">
        <v>40</v>
      </c>
      <c r="O189" s="1">
        <v>50</v>
      </c>
      <c r="P189" s="1">
        <v>60</v>
      </c>
      <c r="Q189" s="1">
        <v>70</v>
      </c>
    </row>
    <row r="190" spans="2:18" ht="13.5" x14ac:dyDescent="0.2">
      <c r="E190" s="9" t="s">
        <v>6</v>
      </c>
      <c r="F190" s="64">
        <f>(F13+F37+F109+F117+F125+F133+F141+F149+F157+F165)/10</f>
        <v>10.24</v>
      </c>
      <c r="G190" s="64">
        <f>(G13+G37+G109+G117+G125+G133+G141+G149+G157+G165)/10</f>
        <v>12.58</v>
      </c>
      <c r="H190" s="65">
        <v>14.6</v>
      </c>
      <c r="I190" s="64">
        <v>16.2</v>
      </c>
      <c r="J190" s="64">
        <v>17.600000000000001</v>
      </c>
      <c r="K190" s="65">
        <v>22</v>
      </c>
      <c r="L190" s="64">
        <v>30</v>
      </c>
      <c r="M190" s="64">
        <v>40</v>
      </c>
      <c r="N190" s="65">
        <v>50</v>
      </c>
      <c r="O190" s="64">
        <v>60.2</v>
      </c>
      <c r="P190" s="64">
        <v>70.400000000000006</v>
      </c>
      <c r="Q190" s="65">
        <v>80.8</v>
      </c>
      <c r="R190" s="75" t="s">
        <v>43</v>
      </c>
    </row>
    <row r="191" spans="2:18" ht="13.5" x14ac:dyDescent="0.2">
      <c r="E191" s="76" t="s">
        <v>7</v>
      </c>
      <c r="F191" s="72">
        <v>-4.8</v>
      </c>
      <c r="G191" s="72">
        <v>-8.5</v>
      </c>
      <c r="H191" s="73">
        <v>-12</v>
      </c>
      <c r="I191" s="72">
        <v>-15.5</v>
      </c>
      <c r="J191" s="72">
        <v>-19</v>
      </c>
      <c r="K191" s="73">
        <v>-39</v>
      </c>
      <c r="L191" s="72">
        <v>-80</v>
      </c>
      <c r="M191" s="72">
        <v>-122</v>
      </c>
      <c r="N191" s="73">
        <v>-165</v>
      </c>
      <c r="O191" s="72">
        <v>-210</v>
      </c>
      <c r="P191" s="72">
        <v>-257</v>
      </c>
      <c r="Q191" s="73">
        <v>-305</v>
      </c>
      <c r="R191" s="71" t="s">
        <v>38</v>
      </c>
    </row>
    <row r="192" spans="2:18" ht="15" x14ac:dyDescent="0.2">
      <c r="E192" s="11" t="s">
        <v>8</v>
      </c>
      <c r="F192" s="44">
        <f>F191/F189</f>
        <v>-4.8</v>
      </c>
      <c r="G192" s="44">
        <f t="shared" ref="G192:Q192" si="2">G191/G189</f>
        <v>-4.25</v>
      </c>
      <c r="H192" s="44">
        <f t="shared" si="2"/>
        <v>-4</v>
      </c>
      <c r="I192" s="44">
        <f t="shared" si="2"/>
        <v>-3.875</v>
      </c>
      <c r="J192" s="44">
        <f t="shared" si="2"/>
        <v>-3.8</v>
      </c>
      <c r="K192" s="44">
        <f t="shared" si="2"/>
        <v>-3.9</v>
      </c>
      <c r="L192" s="44">
        <f t="shared" si="2"/>
        <v>-4</v>
      </c>
      <c r="M192" s="44">
        <f t="shared" si="2"/>
        <v>-4.0666666666666664</v>
      </c>
      <c r="N192" s="44">
        <f t="shared" si="2"/>
        <v>-4.125</v>
      </c>
      <c r="O192" s="44">
        <f t="shared" si="2"/>
        <v>-4.2</v>
      </c>
      <c r="P192" s="44">
        <f t="shared" si="2"/>
        <v>-4.2833333333333332</v>
      </c>
      <c r="Q192" s="44">
        <f t="shared" si="2"/>
        <v>-4.3571428571428568</v>
      </c>
    </row>
    <row r="193" spans="5:18" ht="15" x14ac:dyDescent="0.2">
      <c r="E193" s="8" t="s">
        <v>9</v>
      </c>
      <c r="F193" s="45">
        <f>SQRT(12*32.2*F192^2/(4*$F$177*($F$176*56)*$F$178^2))</f>
        <v>0.77543999738373293</v>
      </c>
      <c r="G193" s="45">
        <f t="shared" ref="G193:Q193" si="3">SQRT(12*32.2*G192^2/(4*$F$177*($F$176*56)*$F$178^2))</f>
        <v>0.68658749768351357</v>
      </c>
      <c r="H193" s="46">
        <f t="shared" si="3"/>
        <v>0.64619999781977744</v>
      </c>
      <c r="I193" s="45">
        <f t="shared" si="3"/>
        <v>0.62600624788790937</v>
      </c>
      <c r="J193" s="45">
        <f t="shared" si="3"/>
        <v>0.61388999792878851</v>
      </c>
      <c r="K193" s="46">
        <f t="shared" si="3"/>
        <v>0.63004499787428303</v>
      </c>
      <c r="L193" s="45">
        <f t="shared" si="3"/>
        <v>0.64619999781977744</v>
      </c>
      <c r="M193" s="45">
        <f t="shared" si="3"/>
        <v>0.65696999778344034</v>
      </c>
      <c r="N193" s="46">
        <f t="shared" si="3"/>
        <v>0.6663937477516455</v>
      </c>
      <c r="O193" s="45">
        <f t="shared" si="3"/>
        <v>0.67850999771076637</v>
      </c>
      <c r="P193" s="45">
        <f t="shared" si="3"/>
        <v>0.69197249766534497</v>
      </c>
      <c r="Q193" s="46">
        <f t="shared" si="3"/>
        <v>0.70389642619654325</v>
      </c>
      <c r="R193" s="71" t="s">
        <v>39</v>
      </c>
    </row>
    <row r="194" spans="5:18" ht="15" x14ac:dyDescent="0.2">
      <c r="E194" s="14" t="s">
        <v>10</v>
      </c>
      <c r="F194" s="47">
        <f>(F191/F190)*-1</f>
        <v>0.46875</v>
      </c>
      <c r="G194" s="47">
        <f t="shared" ref="G194:Q194" si="4">(G191/G190)*-1</f>
        <v>0.67567567567567566</v>
      </c>
      <c r="H194" s="48">
        <f t="shared" si="4"/>
        <v>0.82191780821917815</v>
      </c>
      <c r="I194" s="47">
        <f t="shared" si="4"/>
        <v>0.95679012345679015</v>
      </c>
      <c r="J194" s="47">
        <f t="shared" si="4"/>
        <v>1.0795454545454544</v>
      </c>
      <c r="K194" s="48">
        <f t="shared" si="4"/>
        <v>1.7727272727272727</v>
      </c>
      <c r="L194" s="47">
        <f t="shared" si="4"/>
        <v>2.6666666666666665</v>
      </c>
      <c r="M194" s="47">
        <f t="shared" si="4"/>
        <v>3.05</v>
      </c>
      <c r="N194" s="48">
        <f t="shared" si="4"/>
        <v>3.3</v>
      </c>
      <c r="O194" s="47">
        <f t="shared" si="4"/>
        <v>3.4883720930232558</v>
      </c>
      <c r="P194" s="47">
        <f t="shared" si="4"/>
        <v>3.6505681818181817</v>
      </c>
      <c r="Q194" s="48">
        <f t="shared" si="4"/>
        <v>3.7747524752475248</v>
      </c>
      <c r="R194" s="39"/>
    </row>
    <row r="196" spans="5:18" x14ac:dyDescent="0.2">
      <c r="G196" s="74">
        <f>G194-F194</f>
        <v>0.20692567567567566</v>
      </c>
      <c r="H196" s="74">
        <f t="shared" ref="H196:J196" si="5">H194-G194</f>
        <v>0.14624213254350249</v>
      </c>
      <c r="I196" s="74">
        <f t="shared" si="5"/>
        <v>0.13487231523761201</v>
      </c>
      <c r="J196" s="74">
        <f t="shared" si="5"/>
        <v>0.12275533108866421</v>
      </c>
      <c r="K196" s="74">
        <f>(K194-J194)/5</f>
        <v>0.13863636363636367</v>
      </c>
      <c r="L196" s="74">
        <f>(L194-K194)/10</f>
        <v>8.9393939393939387E-2</v>
      </c>
      <c r="M196" s="74">
        <f t="shared" ref="M196:Q196" si="6">(M194-L194)/10</f>
        <v>3.833333333333333E-2</v>
      </c>
      <c r="N196" s="74">
        <f t="shared" si="6"/>
        <v>2.5000000000000001E-2</v>
      </c>
      <c r="O196" s="74">
        <f t="shared" si="6"/>
        <v>1.8837209302325596E-2</v>
      </c>
      <c r="P196" s="74">
        <f t="shared" si="6"/>
        <v>1.6219608879492586E-2</v>
      </c>
      <c r="Q196" s="74">
        <f t="shared" si="6"/>
        <v>1.2418429342934311E-2</v>
      </c>
    </row>
    <row r="197" spans="5:18" x14ac:dyDescent="0.2">
      <c r="G197" s="74">
        <f>G194-F194</f>
        <v>0.20692567567567566</v>
      </c>
      <c r="H197" s="74">
        <f t="shared" ref="H197:Q197" si="7">H194-G194</f>
        <v>0.14624213254350249</v>
      </c>
      <c r="I197" s="74">
        <f t="shared" si="7"/>
        <v>0.13487231523761201</v>
      </c>
      <c r="J197" s="74">
        <f t="shared" si="7"/>
        <v>0.12275533108866421</v>
      </c>
      <c r="K197" s="74">
        <f t="shared" si="7"/>
        <v>0.69318181818181834</v>
      </c>
      <c r="L197" s="74">
        <f t="shared" si="7"/>
        <v>0.89393939393939381</v>
      </c>
      <c r="M197" s="74">
        <f t="shared" si="7"/>
        <v>0.3833333333333333</v>
      </c>
      <c r="N197" s="74">
        <f t="shared" si="7"/>
        <v>0.25</v>
      </c>
      <c r="O197" s="74">
        <f t="shared" si="7"/>
        <v>0.18837209302325597</v>
      </c>
      <c r="P197" s="74">
        <f t="shared" si="7"/>
        <v>0.16219608879492586</v>
      </c>
      <c r="Q197" s="74">
        <f t="shared" si="7"/>
        <v>0.12418429342934312</v>
      </c>
    </row>
    <row r="198" spans="5:18" x14ac:dyDescent="0.2">
      <c r="F198" s="41">
        <f>6+4</f>
        <v>10</v>
      </c>
      <c r="G198" s="41">
        <f>8.2+4</f>
        <v>12.2</v>
      </c>
      <c r="H198" s="41">
        <f>10.2+4</f>
        <v>14.2</v>
      </c>
      <c r="I198" s="41">
        <f>12+4</f>
        <v>16</v>
      </c>
      <c r="J198" s="41">
        <f>13.8+4</f>
        <v>17.8</v>
      </c>
      <c r="K198" s="41">
        <f>20+4</f>
        <v>24</v>
      </c>
    </row>
    <row r="210" spans="2:18" x14ac:dyDescent="0.2">
      <c r="F210" s="77">
        <f>(F220/F190)</f>
        <v>1.22265625</v>
      </c>
      <c r="G210" s="77">
        <f t="shared" ref="G210:P210" si="8">(G220/G190)</f>
        <v>1.220985691573927</v>
      </c>
      <c r="H210" s="77">
        <f t="shared" si="8"/>
        <v>1.2438356164383562</v>
      </c>
      <c r="I210" s="77">
        <f t="shared" si="8"/>
        <v>1.2814814814814817</v>
      </c>
      <c r="J210" s="77">
        <f t="shared" si="8"/>
        <v>1.343181818181818</v>
      </c>
      <c r="K210" s="77">
        <f t="shared" si="8"/>
        <v>1.6081818181818179</v>
      </c>
      <c r="L210" s="77">
        <f t="shared" si="8"/>
        <v>1.728</v>
      </c>
      <c r="M210" s="77">
        <f t="shared" si="8"/>
        <v>1.6622499999999998</v>
      </c>
      <c r="N210" s="77">
        <f t="shared" si="8"/>
        <v>1.6264000000000001</v>
      </c>
      <c r="O210" s="77">
        <f t="shared" si="8"/>
        <v>1.60797342192691</v>
      </c>
      <c r="P210" s="77">
        <f t="shared" si="8"/>
        <v>1.587215909090909</v>
      </c>
      <c r="Q210" s="77">
        <f>(Q220/Q190)</f>
        <v>1.5668316831683169</v>
      </c>
    </row>
    <row r="211" spans="2:18" ht="15" x14ac:dyDescent="0.2">
      <c r="E211" s="1" t="s">
        <v>13</v>
      </c>
      <c r="F211" s="1">
        <v>1</v>
      </c>
      <c r="G211" s="1">
        <v>2</v>
      </c>
      <c r="H211" s="1">
        <v>3</v>
      </c>
      <c r="I211" s="1">
        <v>4</v>
      </c>
      <c r="J211" s="1">
        <v>5</v>
      </c>
      <c r="K211" s="1">
        <v>10</v>
      </c>
      <c r="L211" s="1">
        <v>20</v>
      </c>
      <c r="M211" s="1">
        <v>30</v>
      </c>
      <c r="N211" s="1">
        <v>40</v>
      </c>
      <c r="O211" s="1">
        <v>50</v>
      </c>
      <c r="P211" s="1">
        <v>60</v>
      </c>
      <c r="Q211" s="1">
        <v>70</v>
      </c>
    </row>
    <row r="212" spans="2:18" ht="13.5" x14ac:dyDescent="0.2">
      <c r="E212" s="9" t="s">
        <v>6</v>
      </c>
      <c r="F212" s="42">
        <f t="shared" ref="F212:Q212" si="9">F220/2</f>
        <v>6.26</v>
      </c>
      <c r="G212" s="42">
        <f t="shared" si="9"/>
        <v>7.6800000000000015</v>
      </c>
      <c r="H212" s="43">
        <f t="shared" si="9"/>
        <v>9.08</v>
      </c>
      <c r="I212" s="42">
        <f t="shared" si="9"/>
        <v>10.38</v>
      </c>
      <c r="J212" s="42">
        <f t="shared" si="9"/>
        <v>11.82</v>
      </c>
      <c r="K212" s="43">
        <f t="shared" si="9"/>
        <v>17.689999999999998</v>
      </c>
      <c r="L212" s="42">
        <f t="shared" si="9"/>
        <v>25.919999999999998</v>
      </c>
      <c r="M212" s="42">
        <f t="shared" si="9"/>
        <v>33.244999999999997</v>
      </c>
      <c r="N212" s="43">
        <f t="shared" si="9"/>
        <v>40.660000000000004</v>
      </c>
      <c r="O212" s="42">
        <f t="shared" si="9"/>
        <v>48.399999999999991</v>
      </c>
      <c r="P212" s="42">
        <f t="shared" si="9"/>
        <v>55.870000000000005</v>
      </c>
      <c r="Q212" s="43">
        <f t="shared" si="9"/>
        <v>63.3</v>
      </c>
    </row>
    <row r="213" spans="2:18" ht="13.5" x14ac:dyDescent="0.2">
      <c r="E213" s="9" t="s">
        <v>7</v>
      </c>
      <c r="F213" s="42">
        <f t="shared" ref="F213:Q213" si="10">F221/2</f>
        <v>-2.4</v>
      </c>
      <c r="G213" s="42">
        <f t="shared" si="10"/>
        <v>-4.25</v>
      </c>
      <c r="H213" s="43">
        <f t="shared" si="10"/>
        <v>-6</v>
      </c>
      <c r="I213" s="42">
        <f t="shared" si="10"/>
        <v>-7.75</v>
      </c>
      <c r="J213" s="42">
        <f t="shared" si="10"/>
        <v>-9.5</v>
      </c>
      <c r="K213" s="43">
        <f t="shared" si="10"/>
        <v>-19.5</v>
      </c>
      <c r="L213" s="42">
        <f t="shared" si="10"/>
        <v>-40</v>
      </c>
      <c r="M213" s="42">
        <f t="shared" si="10"/>
        <v>-61</v>
      </c>
      <c r="N213" s="43">
        <f t="shared" si="10"/>
        <v>-82.5</v>
      </c>
      <c r="O213" s="42">
        <f t="shared" si="10"/>
        <v>-105</v>
      </c>
      <c r="P213" s="42">
        <f t="shared" si="10"/>
        <v>-128.5</v>
      </c>
      <c r="Q213" s="43">
        <f t="shared" si="10"/>
        <v>-152.5</v>
      </c>
    </row>
    <row r="214" spans="2:18" ht="13.5" x14ac:dyDescent="0.2">
      <c r="E214" s="49"/>
      <c r="F214" s="50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</row>
    <row r="215" spans="2:18" ht="13.5" x14ac:dyDescent="0.2">
      <c r="E215" s="49"/>
      <c r="F215" s="50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</row>
    <row r="216" spans="2:18" ht="13.5" x14ac:dyDescent="0.2">
      <c r="E216" s="9" t="s">
        <v>6</v>
      </c>
      <c r="F216" s="42">
        <v>12.52</v>
      </c>
      <c r="G216" s="42">
        <v>15.360000000000003</v>
      </c>
      <c r="H216" s="43">
        <v>18.16</v>
      </c>
      <c r="I216" s="42">
        <v>20.76</v>
      </c>
      <c r="J216" s="42">
        <v>23.64</v>
      </c>
      <c r="K216" s="43">
        <v>35.379999999999995</v>
      </c>
      <c r="L216" s="42">
        <v>51.839999999999996</v>
      </c>
      <c r="M216" s="42">
        <v>66.489999999999995</v>
      </c>
      <c r="N216" s="43">
        <v>81.320000000000007</v>
      </c>
      <c r="O216" s="42">
        <v>96.799999999999983</v>
      </c>
      <c r="P216" s="42">
        <v>111.74000000000001</v>
      </c>
      <c r="Q216" s="43">
        <v>126.6</v>
      </c>
      <c r="R216" s="18" t="s">
        <v>35</v>
      </c>
    </row>
    <row r="217" spans="2:18" ht="13.5" x14ac:dyDescent="0.2">
      <c r="E217" s="9" t="s">
        <v>7</v>
      </c>
      <c r="F217" s="42">
        <v>-5.1199999999999992</v>
      </c>
      <c r="G217" s="42">
        <v>-8.7799999999999994</v>
      </c>
      <c r="H217" s="43">
        <v>-12.84</v>
      </c>
      <c r="I217" s="42">
        <v>-17.219999999999995</v>
      </c>
      <c r="J217" s="42">
        <v>-21.7</v>
      </c>
      <c r="K217" s="43">
        <v>-46.139999999999993</v>
      </c>
      <c r="L217" s="42">
        <v>-93.32</v>
      </c>
      <c r="M217" s="42">
        <v>-140.04</v>
      </c>
      <c r="N217" s="43">
        <v>-189.85999999999999</v>
      </c>
      <c r="O217" s="42">
        <v>-241.91999999999993</v>
      </c>
      <c r="P217" s="42">
        <v>-291.70000000000005</v>
      </c>
      <c r="Q217" s="43">
        <v>-340.04</v>
      </c>
      <c r="R217" s="18" t="s">
        <v>30</v>
      </c>
    </row>
    <row r="218" spans="2:18" ht="15" x14ac:dyDescent="0.2">
      <c r="E218" s="8" t="s">
        <v>9</v>
      </c>
      <c r="F218" s="45">
        <v>0.82699999999999996</v>
      </c>
      <c r="G218" s="45">
        <v>0.70899999999999985</v>
      </c>
      <c r="H218" s="46">
        <v>0.68800000000000006</v>
      </c>
      <c r="I218" s="45">
        <v>0.69800000000000006</v>
      </c>
      <c r="J218" s="45">
        <v>0.70299999999999996</v>
      </c>
      <c r="K218" s="46">
        <v>0.74599999999999989</v>
      </c>
      <c r="L218" s="45">
        <v>0.75600000000000001</v>
      </c>
      <c r="M218" s="45">
        <v>0.75299999999999989</v>
      </c>
      <c r="N218" s="46">
        <v>0.77099999999999991</v>
      </c>
      <c r="O218" s="45">
        <v>0.78300000000000003</v>
      </c>
      <c r="P218" s="45">
        <v>0.78900000000000003</v>
      </c>
      <c r="Q218" s="46">
        <v>0.78600000000000014</v>
      </c>
      <c r="R218" t="s">
        <v>28</v>
      </c>
    </row>
    <row r="219" spans="2:18" ht="15" x14ac:dyDescent="0.2">
      <c r="B219" t="s">
        <v>23</v>
      </c>
      <c r="E219" s="1"/>
      <c r="F219" s="1">
        <v>1</v>
      </c>
      <c r="G219" s="1">
        <v>2</v>
      </c>
      <c r="H219" s="1">
        <v>3</v>
      </c>
      <c r="I219" s="1">
        <v>4</v>
      </c>
      <c r="J219" s="1">
        <v>5</v>
      </c>
      <c r="K219" s="1">
        <v>10</v>
      </c>
      <c r="L219" s="1">
        <v>20</v>
      </c>
      <c r="M219" s="1">
        <v>30</v>
      </c>
      <c r="N219" s="1">
        <v>40</v>
      </c>
      <c r="O219" s="1">
        <v>50</v>
      </c>
      <c r="P219" s="1">
        <v>60</v>
      </c>
      <c r="Q219" s="1">
        <v>70</v>
      </c>
    </row>
    <row r="220" spans="2:18" ht="13.5" x14ac:dyDescent="0.2">
      <c r="B220" t="s">
        <v>24</v>
      </c>
      <c r="E220" s="9" t="s">
        <v>6</v>
      </c>
      <c r="F220" s="42">
        <f t="shared" ref="F220:Q220" si="11">(F21+F29+F45+F53+F61+F69+F77+F85+F93+F101)/10</f>
        <v>12.52</v>
      </c>
      <c r="G220" s="42">
        <f t="shared" si="11"/>
        <v>15.360000000000003</v>
      </c>
      <c r="H220" s="43">
        <f t="shared" si="11"/>
        <v>18.16</v>
      </c>
      <c r="I220" s="42">
        <f t="shared" si="11"/>
        <v>20.76</v>
      </c>
      <c r="J220" s="42">
        <f t="shared" si="11"/>
        <v>23.64</v>
      </c>
      <c r="K220" s="43">
        <f t="shared" si="11"/>
        <v>35.379999999999995</v>
      </c>
      <c r="L220" s="42">
        <f t="shared" si="11"/>
        <v>51.839999999999996</v>
      </c>
      <c r="M220" s="42">
        <f t="shared" si="11"/>
        <v>66.489999999999995</v>
      </c>
      <c r="N220" s="43">
        <f t="shared" si="11"/>
        <v>81.320000000000007</v>
      </c>
      <c r="O220" s="42">
        <f t="shared" si="11"/>
        <v>96.799999999999983</v>
      </c>
      <c r="P220" s="42">
        <f t="shared" si="11"/>
        <v>111.74000000000001</v>
      </c>
      <c r="Q220" s="43">
        <f t="shared" si="11"/>
        <v>126.6</v>
      </c>
      <c r="R220" s="75" t="s">
        <v>44</v>
      </c>
    </row>
    <row r="221" spans="2:18" ht="13.5" x14ac:dyDescent="0.2">
      <c r="E221" s="76" t="s">
        <v>7</v>
      </c>
      <c r="F221" s="72">
        <v>-4.8</v>
      </c>
      <c r="G221" s="72">
        <v>-8.5</v>
      </c>
      <c r="H221" s="73">
        <v>-12</v>
      </c>
      <c r="I221" s="72">
        <v>-15.5</v>
      </c>
      <c r="J221" s="72">
        <v>-19</v>
      </c>
      <c r="K221" s="73">
        <v>-39</v>
      </c>
      <c r="L221" s="72">
        <v>-80</v>
      </c>
      <c r="M221" s="72">
        <v>-122</v>
      </c>
      <c r="N221" s="73">
        <v>-165</v>
      </c>
      <c r="O221" s="72">
        <v>-210</v>
      </c>
      <c r="P221" s="72">
        <v>-257</v>
      </c>
      <c r="Q221" s="73">
        <v>-305</v>
      </c>
      <c r="R221" s="71" t="s">
        <v>38</v>
      </c>
    </row>
    <row r="222" spans="2:18" ht="15" x14ac:dyDescent="0.2">
      <c r="E222" s="11" t="s">
        <v>8</v>
      </c>
      <c r="F222" s="44">
        <f>F221/F219</f>
        <v>-4.8</v>
      </c>
      <c r="G222" s="44">
        <f t="shared" ref="G222" si="12">G221/G219</f>
        <v>-4.25</v>
      </c>
      <c r="H222" s="44">
        <f t="shared" ref="H222" si="13">H221/H219</f>
        <v>-4</v>
      </c>
      <c r="I222" s="44">
        <f t="shared" ref="I222" si="14">I221/I219</f>
        <v>-3.875</v>
      </c>
      <c r="J222" s="44">
        <f t="shared" ref="J222" si="15">J221/J219</f>
        <v>-3.8</v>
      </c>
      <c r="K222" s="44">
        <f t="shared" ref="K222" si="16">K221/K219</f>
        <v>-3.9</v>
      </c>
      <c r="L222" s="44">
        <f t="shared" ref="L222" si="17">L221/L219</f>
        <v>-4</v>
      </c>
      <c r="M222" s="44">
        <f t="shared" ref="M222" si="18">M221/M219</f>
        <v>-4.0666666666666664</v>
      </c>
      <c r="N222" s="44">
        <f t="shared" ref="N222" si="19">N221/N219</f>
        <v>-4.125</v>
      </c>
      <c r="O222" s="44">
        <f t="shared" ref="O222" si="20">O221/O219</f>
        <v>-4.2</v>
      </c>
      <c r="P222" s="44">
        <f t="shared" ref="P222" si="21">P221/P219</f>
        <v>-4.2833333333333332</v>
      </c>
      <c r="Q222" s="44">
        <f>Q221/Q219</f>
        <v>-4.3571428571428568</v>
      </c>
    </row>
    <row r="223" spans="2:18" ht="15" x14ac:dyDescent="0.2">
      <c r="E223" s="8" t="s">
        <v>9</v>
      </c>
      <c r="F223" s="45">
        <f>SQRT(12*32.2*F222^2/(4*$F$177*($F$176*56)*$F$178^2))</f>
        <v>0.77543999738373293</v>
      </c>
      <c r="G223" s="45">
        <f t="shared" ref="G223" si="22">SQRT(12*32.2*G222^2/(4*$F$177*($F$176*56)*$F$178^2))</f>
        <v>0.68658749768351357</v>
      </c>
      <c r="H223" s="46">
        <f t="shared" ref="H223" si="23">SQRT(12*32.2*H222^2/(4*$F$177*($F$176*56)*$F$178^2))</f>
        <v>0.64619999781977744</v>
      </c>
      <c r="I223" s="45">
        <f t="shared" ref="I223" si="24">SQRT(12*32.2*I222^2/(4*$F$177*($F$176*56)*$F$178^2))</f>
        <v>0.62600624788790937</v>
      </c>
      <c r="J223" s="45">
        <f t="shared" ref="J223" si="25">SQRT(12*32.2*J222^2/(4*$F$177*($F$176*56)*$F$178^2))</f>
        <v>0.61388999792878851</v>
      </c>
      <c r="K223" s="46">
        <f t="shared" ref="K223" si="26">SQRT(12*32.2*K222^2/(4*$F$177*($F$176*56)*$F$178^2))</f>
        <v>0.63004499787428303</v>
      </c>
      <c r="L223" s="45">
        <f t="shared" ref="L223" si="27">SQRT(12*32.2*L222^2/(4*$F$177*($F$176*56)*$F$178^2))</f>
        <v>0.64619999781977744</v>
      </c>
      <c r="M223" s="45">
        <f t="shared" ref="M223" si="28">SQRT(12*32.2*M222^2/(4*$F$177*($F$176*56)*$F$178^2))</f>
        <v>0.65696999778344034</v>
      </c>
      <c r="N223" s="46">
        <f t="shared" ref="N223" si="29">SQRT(12*32.2*N222^2/(4*$F$177*($F$176*56)*$F$178^2))</f>
        <v>0.6663937477516455</v>
      </c>
      <c r="O223" s="45">
        <f t="shared" ref="O223" si="30">SQRT(12*32.2*O222^2/(4*$F$177*($F$176*56)*$F$178^2))</f>
        <v>0.67850999771076637</v>
      </c>
      <c r="P223" s="45">
        <f t="shared" ref="P223" si="31">SQRT(12*32.2*P222^2/(4*$F$177*($F$176*56)*$F$178^2))</f>
        <v>0.69197249766534497</v>
      </c>
      <c r="Q223" s="46">
        <f t="shared" ref="Q223" si="32">SQRT(12*32.2*Q222^2/(4*$F$177*($F$176*56)*$F$178^2))</f>
        <v>0.70389642619654325</v>
      </c>
      <c r="R223" s="71" t="s">
        <v>39</v>
      </c>
    </row>
    <row r="224" spans="2:18" ht="15" x14ac:dyDescent="0.2">
      <c r="E224" s="14" t="s">
        <v>10</v>
      </c>
      <c r="F224" s="47">
        <f>(F221/F220)*-1</f>
        <v>0.38338658146964855</v>
      </c>
      <c r="G224" s="47">
        <f t="shared" ref="G224:Q224" si="33">(G221/G220)*-1</f>
        <v>0.55338541666666652</v>
      </c>
      <c r="H224" s="48">
        <f t="shared" si="33"/>
        <v>0.66079295154185025</v>
      </c>
      <c r="I224" s="47">
        <f t="shared" si="33"/>
        <v>0.74662813102119452</v>
      </c>
      <c r="J224" s="47">
        <f t="shared" si="33"/>
        <v>0.80372250423011837</v>
      </c>
      <c r="K224" s="48">
        <f t="shared" si="33"/>
        <v>1.1023176936122103</v>
      </c>
      <c r="L224" s="47">
        <f t="shared" si="33"/>
        <v>1.5432098765432101</v>
      </c>
      <c r="M224" s="47">
        <f t="shared" si="33"/>
        <v>1.834862385321101</v>
      </c>
      <c r="N224" s="48">
        <f t="shared" si="33"/>
        <v>2.029021151008362</v>
      </c>
      <c r="O224" s="47">
        <f t="shared" si="33"/>
        <v>2.169421487603306</v>
      </c>
      <c r="P224" s="47">
        <f t="shared" si="33"/>
        <v>2.2999821013066044</v>
      </c>
      <c r="Q224" s="48">
        <f t="shared" si="33"/>
        <v>2.4091627172195893</v>
      </c>
      <c r="R224" s="39"/>
    </row>
    <row r="226" spans="7:17" x14ac:dyDescent="0.2">
      <c r="G226" s="74">
        <f>G224-F224</f>
        <v>0.16999883519701797</v>
      </c>
      <c r="H226" s="74">
        <f t="shared" ref="H226:J226" si="34">H224-G224</f>
        <v>0.10740753487518373</v>
      </c>
      <c r="I226" s="74">
        <f t="shared" si="34"/>
        <v>8.583517947934427E-2</v>
      </c>
      <c r="J226" s="74">
        <f t="shared" si="34"/>
        <v>5.7094373208923854E-2</v>
      </c>
      <c r="K226" s="74">
        <f>(K224-J224)/5</f>
        <v>5.9719037876418392E-2</v>
      </c>
      <c r="L226" s="74">
        <f>(L224-K224)/10</f>
        <v>4.4089218293099974E-2</v>
      </c>
      <c r="M226" s="74">
        <f t="shared" ref="M226:Q226" si="35">(M224-L224)/10</f>
        <v>2.9165250877789095E-2</v>
      </c>
      <c r="N226" s="74">
        <f t="shared" si="35"/>
        <v>1.94158765687261E-2</v>
      </c>
      <c r="O226" s="74">
        <f t="shared" si="35"/>
        <v>1.40400336594944E-2</v>
      </c>
      <c r="P226" s="74">
        <f t="shared" si="35"/>
        <v>1.305606137032984E-2</v>
      </c>
      <c r="Q226" s="74">
        <f t="shared" si="35"/>
        <v>1.0918061591298489E-2</v>
      </c>
    </row>
    <row r="227" spans="7:17" x14ac:dyDescent="0.2">
      <c r="G227" s="74">
        <f>G224-F224</f>
        <v>0.16999883519701797</v>
      </c>
      <c r="H227" s="74">
        <f t="shared" ref="H227:Q227" si="36">H224-G224</f>
        <v>0.10740753487518373</v>
      </c>
      <c r="I227" s="74">
        <f t="shared" si="36"/>
        <v>8.583517947934427E-2</v>
      </c>
      <c r="J227" s="74">
        <f t="shared" si="36"/>
        <v>5.7094373208923854E-2</v>
      </c>
      <c r="K227" s="74">
        <f t="shared" si="36"/>
        <v>0.29859518938209195</v>
      </c>
      <c r="L227" s="74">
        <f t="shared" si="36"/>
        <v>0.44089218293099974</v>
      </c>
      <c r="M227" s="74">
        <f t="shared" si="36"/>
        <v>0.29165250877789095</v>
      </c>
      <c r="N227" s="74">
        <f t="shared" si="36"/>
        <v>0.19415876568726098</v>
      </c>
      <c r="O227" s="74">
        <f t="shared" si="36"/>
        <v>0.140400336594944</v>
      </c>
      <c r="P227" s="74">
        <f t="shared" si="36"/>
        <v>0.13056061370329841</v>
      </c>
      <c r="Q227" s="74">
        <f t="shared" si="36"/>
        <v>0.10918061591298489</v>
      </c>
    </row>
  </sheetData>
  <mergeCells count="81">
    <mergeCell ref="F12:Q12"/>
    <mergeCell ref="F20:Q20"/>
    <mergeCell ref="F28:Q28"/>
    <mergeCell ref="F36:Q36"/>
    <mergeCell ref="F44:Q44"/>
    <mergeCell ref="B34:Q35"/>
    <mergeCell ref="C36:C41"/>
    <mergeCell ref="D36:D41"/>
    <mergeCell ref="B42:Q43"/>
    <mergeCell ref="C44:C49"/>
    <mergeCell ref="D44:D49"/>
    <mergeCell ref="B58:Q59"/>
    <mergeCell ref="F156:Q156"/>
    <mergeCell ref="F164:Q164"/>
    <mergeCell ref="C12:C17"/>
    <mergeCell ref="D12:D17"/>
    <mergeCell ref="B18:Q19"/>
    <mergeCell ref="C20:C25"/>
    <mergeCell ref="D20:D25"/>
    <mergeCell ref="B26:Q27"/>
    <mergeCell ref="C28:C33"/>
    <mergeCell ref="D28:D33"/>
    <mergeCell ref="F108:Q108"/>
    <mergeCell ref="F116:Q116"/>
    <mergeCell ref="F124:Q124"/>
    <mergeCell ref="F132:Q132"/>
    <mergeCell ref="F140:Q140"/>
    <mergeCell ref="B50:Q51"/>
    <mergeCell ref="C52:C57"/>
    <mergeCell ref="D52:D57"/>
    <mergeCell ref="F52:Q52"/>
    <mergeCell ref="B90:Q91"/>
    <mergeCell ref="C60:C65"/>
    <mergeCell ref="D60:D65"/>
    <mergeCell ref="B66:Q67"/>
    <mergeCell ref="C68:C73"/>
    <mergeCell ref="D68:D73"/>
    <mergeCell ref="B74:Q75"/>
    <mergeCell ref="F60:Q60"/>
    <mergeCell ref="F68:Q68"/>
    <mergeCell ref="F76:Q76"/>
    <mergeCell ref="F84:Q84"/>
    <mergeCell ref="C76:C81"/>
    <mergeCell ref="D76:D81"/>
    <mergeCell ref="B82:Q83"/>
    <mergeCell ref="C84:C89"/>
    <mergeCell ref="D84:D89"/>
    <mergeCell ref="B122:Q123"/>
    <mergeCell ref="C92:C97"/>
    <mergeCell ref="D92:D97"/>
    <mergeCell ref="B98:Q99"/>
    <mergeCell ref="C100:C105"/>
    <mergeCell ref="D100:D105"/>
    <mergeCell ref="B106:Q107"/>
    <mergeCell ref="F92:Q92"/>
    <mergeCell ref="F100:Q100"/>
    <mergeCell ref="C108:C113"/>
    <mergeCell ref="D108:D113"/>
    <mergeCell ref="B114:Q115"/>
    <mergeCell ref="C116:C121"/>
    <mergeCell ref="D116:D121"/>
    <mergeCell ref="B154:Q155"/>
    <mergeCell ref="C124:C129"/>
    <mergeCell ref="D124:D129"/>
    <mergeCell ref="B130:Q131"/>
    <mergeCell ref="C132:C137"/>
    <mergeCell ref="D132:D137"/>
    <mergeCell ref="B138:Q139"/>
    <mergeCell ref="F148:Q148"/>
    <mergeCell ref="C140:C145"/>
    <mergeCell ref="D140:D145"/>
    <mergeCell ref="B146:Q147"/>
    <mergeCell ref="C148:C153"/>
    <mergeCell ref="D148:D153"/>
    <mergeCell ref="B173:Q173"/>
    <mergeCell ref="C156:C161"/>
    <mergeCell ref="D156:D161"/>
    <mergeCell ref="B162:Q163"/>
    <mergeCell ref="C164:C169"/>
    <mergeCell ref="D164:D169"/>
    <mergeCell ref="B170:Q171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>
    <pageSetUpPr fitToPage="1"/>
  </sheetPr>
  <dimension ref="A1:S190"/>
  <sheetViews>
    <sheetView showGridLines="0" zoomScale="90" zoomScaleNormal="90" workbookViewId="0"/>
  </sheetViews>
  <sheetFormatPr defaultRowHeight="12.75" x14ac:dyDescent="0.2"/>
  <cols>
    <col min="2" max="2" width="11.7109375" customWidth="1"/>
  </cols>
  <sheetData>
    <row r="1" spans="1:17" x14ac:dyDescent="0.2">
      <c r="A1" t="s">
        <v>15</v>
      </c>
      <c r="J1" s="57" t="s">
        <v>95</v>
      </c>
    </row>
    <row r="2" spans="1:17" x14ac:dyDescent="0.2">
      <c r="A2" s="18" t="s">
        <v>45</v>
      </c>
      <c r="J2" s="57" t="s">
        <v>97</v>
      </c>
    </row>
    <row r="3" spans="1:17" x14ac:dyDescent="0.2">
      <c r="A3" s="69" t="s">
        <v>70</v>
      </c>
    </row>
    <row r="4" spans="1:17" ht="12.75" customHeight="1" x14ac:dyDescent="0.2">
      <c r="B4" s="87" t="s">
        <v>94</v>
      </c>
    </row>
    <row r="6" spans="1:17" x14ac:dyDescent="0.2">
      <c r="A6" s="18" t="s">
        <v>47</v>
      </c>
    </row>
    <row r="7" spans="1:17" x14ac:dyDescent="0.2">
      <c r="A7" s="18" t="s">
        <v>48</v>
      </c>
    </row>
    <row r="8" spans="1:17" x14ac:dyDescent="0.2">
      <c r="O8" s="80" t="s">
        <v>14</v>
      </c>
    </row>
    <row r="10" spans="1:17" x14ac:dyDescent="0.2">
      <c r="E10" s="59" t="s">
        <v>25</v>
      </c>
      <c r="F10" s="60">
        <v>0.96</v>
      </c>
    </row>
    <row r="11" spans="1:17" x14ac:dyDescent="0.2">
      <c r="E11" s="61" t="s">
        <v>26</v>
      </c>
      <c r="F11" s="62">
        <v>85</v>
      </c>
    </row>
    <row r="12" spans="1:17" x14ac:dyDescent="0.2">
      <c r="E12" s="61" t="s">
        <v>27</v>
      </c>
      <c r="F12" s="62">
        <v>0.9</v>
      </c>
    </row>
    <row r="15" spans="1:17" ht="15" x14ac:dyDescent="0.2">
      <c r="B15" s="70" t="s">
        <v>37</v>
      </c>
      <c r="E15" s="1" t="s">
        <v>13</v>
      </c>
      <c r="F15" s="1">
        <v>1</v>
      </c>
      <c r="G15" s="1">
        <v>2</v>
      </c>
      <c r="H15" s="1">
        <v>3</v>
      </c>
      <c r="I15" s="1">
        <v>4</v>
      </c>
      <c r="J15" s="1">
        <v>5</v>
      </c>
      <c r="K15" s="1">
        <v>10</v>
      </c>
      <c r="L15" s="1">
        <v>20</v>
      </c>
      <c r="M15" s="1">
        <v>30</v>
      </c>
      <c r="N15" s="1">
        <v>40</v>
      </c>
      <c r="O15" s="1">
        <v>50</v>
      </c>
      <c r="P15" s="1">
        <v>60</v>
      </c>
      <c r="Q15" s="1">
        <v>70</v>
      </c>
    </row>
    <row r="16" spans="1:17" ht="13.5" x14ac:dyDescent="0.2">
      <c r="B16" s="69" t="s">
        <v>46</v>
      </c>
      <c r="E16" s="9" t="s">
        <v>6</v>
      </c>
      <c r="F16" s="42">
        <f t="shared" ref="F16:Q16" si="0">F23/2</f>
        <v>3</v>
      </c>
      <c r="G16" s="42">
        <f t="shared" si="0"/>
        <v>4.0999999999999996</v>
      </c>
      <c r="H16" s="43">
        <f t="shared" si="0"/>
        <v>5.0999999999999996</v>
      </c>
      <c r="I16" s="42">
        <f t="shared" si="0"/>
        <v>5.9</v>
      </c>
      <c r="J16" s="42">
        <f t="shared" si="0"/>
        <v>6.6</v>
      </c>
      <c r="K16" s="43">
        <f t="shared" si="0"/>
        <v>10</v>
      </c>
      <c r="L16" s="42">
        <f t="shared" si="0"/>
        <v>15</v>
      </c>
      <c r="M16" s="42">
        <f t="shared" si="0"/>
        <v>20</v>
      </c>
      <c r="N16" s="43">
        <f t="shared" si="0"/>
        <v>25</v>
      </c>
      <c r="O16" s="42">
        <f t="shared" si="0"/>
        <v>30.1</v>
      </c>
      <c r="P16" s="42">
        <f t="shared" si="0"/>
        <v>35.200000000000003</v>
      </c>
      <c r="Q16" s="43">
        <f t="shared" si="0"/>
        <v>40.4</v>
      </c>
    </row>
    <row r="17" spans="3:18" ht="13.5" x14ac:dyDescent="0.2">
      <c r="E17" s="9" t="s">
        <v>7</v>
      </c>
      <c r="F17" s="42">
        <f t="shared" ref="F17:Q17" si="1">F24/2</f>
        <v>-2.4</v>
      </c>
      <c r="G17" s="42">
        <f t="shared" si="1"/>
        <v>-4.25</v>
      </c>
      <c r="H17" s="43">
        <f t="shared" si="1"/>
        <v>-6</v>
      </c>
      <c r="I17" s="42">
        <f t="shared" si="1"/>
        <v>-7.75</v>
      </c>
      <c r="J17" s="42">
        <f t="shared" si="1"/>
        <v>-9.5</v>
      </c>
      <c r="K17" s="43">
        <f t="shared" si="1"/>
        <v>-19.5</v>
      </c>
      <c r="L17" s="42">
        <f t="shared" si="1"/>
        <v>-40</v>
      </c>
      <c r="M17" s="42">
        <f t="shared" si="1"/>
        <v>-61</v>
      </c>
      <c r="N17" s="43">
        <f t="shared" si="1"/>
        <v>-82.5</v>
      </c>
      <c r="O17" s="42">
        <f t="shared" si="1"/>
        <v>-105</v>
      </c>
      <c r="P17" s="42">
        <f t="shared" si="1"/>
        <v>-128.5</v>
      </c>
      <c r="Q17" s="43">
        <f t="shared" si="1"/>
        <v>-152.5</v>
      </c>
    </row>
    <row r="18" spans="3:18" ht="13.5" x14ac:dyDescent="0.2">
      <c r="E18" s="49"/>
      <c r="F18" s="52"/>
      <c r="G18" s="52"/>
      <c r="H18" s="52"/>
      <c r="I18" s="52"/>
      <c r="J18" s="52"/>
      <c r="K18" s="52"/>
      <c r="L18" s="52"/>
      <c r="M18" s="52"/>
      <c r="N18" s="52"/>
      <c r="P18" s="52"/>
      <c r="Q18" s="52"/>
      <c r="R18" s="53"/>
    </row>
    <row r="19" spans="3:18" ht="13.5" x14ac:dyDescent="0.2">
      <c r="E19" s="9" t="s">
        <v>6</v>
      </c>
      <c r="F19" s="42">
        <v>5.7545454545454549</v>
      </c>
      <c r="G19" s="42">
        <v>8.0727272727272741</v>
      </c>
      <c r="H19" s="43">
        <v>10.9</v>
      </c>
      <c r="I19" s="42">
        <v>13.509090909090911</v>
      </c>
      <c r="J19" s="42">
        <v>15.509090909090908</v>
      </c>
      <c r="K19" s="43">
        <v>21.181818181818183</v>
      </c>
      <c r="L19" s="42">
        <v>29.327272727272728</v>
      </c>
      <c r="M19" s="42">
        <v>37.236363636363642</v>
      </c>
      <c r="N19" s="43">
        <v>45.75454545454545</v>
      </c>
      <c r="O19" s="42">
        <v>55.154545454545449</v>
      </c>
      <c r="P19" s="42">
        <v>64.872727272727275</v>
      </c>
      <c r="Q19" s="43">
        <v>74.690909090909102</v>
      </c>
      <c r="R19" s="18" t="s">
        <v>35</v>
      </c>
    </row>
    <row r="20" spans="3:18" ht="13.5" x14ac:dyDescent="0.2">
      <c r="E20" s="9" t="s">
        <v>7</v>
      </c>
      <c r="F20" s="42">
        <v>-4.9454545454545462</v>
      </c>
      <c r="G20" s="42">
        <v>-7.1454545454545437</v>
      </c>
      <c r="H20" s="43">
        <v>-9.9909090909090903</v>
      </c>
      <c r="I20" s="42">
        <v>-13.118181818181817</v>
      </c>
      <c r="J20" s="42">
        <v>-16.845454545454544</v>
      </c>
      <c r="K20" s="43">
        <v>-36.77272727272728</v>
      </c>
      <c r="L20" s="42">
        <v>-76.481818181818198</v>
      </c>
      <c r="M20" s="42">
        <v>-116.61818181818184</v>
      </c>
      <c r="N20" s="43">
        <v>-158.41818181818178</v>
      </c>
      <c r="O20" s="42">
        <v>-202.78181818181818</v>
      </c>
      <c r="P20" s="42">
        <v>-246.80909090909091</v>
      </c>
      <c r="Q20" s="43">
        <v>-289.48181818181814</v>
      </c>
      <c r="R20" s="18" t="s">
        <v>30</v>
      </c>
    </row>
    <row r="21" spans="3:18" ht="15" x14ac:dyDescent="0.2">
      <c r="E21" s="8" t="s">
        <v>9</v>
      </c>
      <c r="F21" s="45">
        <v>0.79999999999999971</v>
      </c>
      <c r="G21" s="45">
        <v>0.57818181818181824</v>
      </c>
      <c r="H21" s="46">
        <v>0.53636363636363626</v>
      </c>
      <c r="I21" s="45">
        <v>0.53454545454545466</v>
      </c>
      <c r="J21" s="45">
        <v>0.54500000000000004</v>
      </c>
      <c r="K21" s="46">
        <v>0.59363636363636363</v>
      </c>
      <c r="L21" s="45">
        <v>0.61818181818181828</v>
      </c>
      <c r="M21" s="45">
        <v>0.62954545454545463</v>
      </c>
      <c r="N21" s="46">
        <v>0.64227272727272744</v>
      </c>
      <c r="O21" s="45">
        <v>0.65636363636363626</v>
      </c>
      <c r="P21" s="45">
        <v>0.66409090909090907</v>
      </c>
      <c r="Q21" s="46">
        <v>0.66818181818181821</v>
      </c>
      <c r="R21" t="s">
        <v>28</v>
      </c>
    </row>
    <row r="22" spans="3:18" ht="15" x14ac:dyDescent="0.2">
      <c r="E22" s="1" t="s">
        <v>12</v>
      </c>
      <c r="F22" s="1">
        <v>1</v>
      </c>
      <c r="G22" s="1">
        <v>2</v>
      </c>
      <c r="H22" s="1">
        <v>3</v>
      </c>
      <c r="I22" s="1">
        <v>4</v>
      </c>
      <c r="J22" s="1">
        <v>5</v>
      </c>
      <c r="K22" s="1">
        <v>10</v>
      </c>
      <c r="L22" s="1">
        <v>20</v>
      </c>
      <c r="M22" s="1">
        <v>30</v>
      </c>
      <c r="N22" s="1">
        <v>40</v>
      </c>
      <c r="O22" s="1">
        <v>50</v>
      </c>
      <c r="P22" s="1">
        <v>60</v>
      </c>
      <c r="Q22" s="1">
        <v>70</v>
      </c>
      <c r="R22" t="s">
        <v>56</v>
      </c>
    </row>
    <row r="23" spans="3:18" ht="13.5" x14ac:dyDescent="0.2">
      <c r="E23" s="9" t="s">
        <v>6</v>
      </c>
      <c r="F23" s="64">
        <v>6</v>
      </c>
      <c r="G23" s="64">
        <v>8.1999999999999993</v>
      </c>
      <c r="H23" s="65">
        <v>10.199999999999999</v>
      </c>
      <c r="I23" s="64">
        <v>11.8</v>
      </c>
      <c r="J23" s="64">
        <v>13.2</v>
      </c>
      <c r="K23" s="65">
        <v>20</v>
      </c>
      <c r="L23" s="64">
        <v>30</v>
      </c>
      <c r="M23" s="64">
        <v>40</v>
      </c>
      <c r="N23" s="65">
        <v>50</v>
      </c>
      <c r="O23" s="64">
        <f>30.1*2</f>
        <v>60.2</v>
      </c>
      <c r="P23" s="64">
        <f>35.2*2</f>
        <v>70.400000000000006</v>
      </c>
      <c r="Q23" s="65">
        <f>40.4*2</f>
        <v>80.8</v>
      </c>
      <c r="R23" s="57" t="s">
        <v>40</v>
      </c>
    </row>
    <row r="24" spans="3:18" ht="13.5" x14ac:dyDescent="0.2">
      <c r="E24" s="9" t="s">
        <v>7</v>
      </c>
      <c r="F24" s="72">
        <v>-4.8</v>
      </c>
      <c r="G24" s="72">
        <v>-8.5</v>
      </c>
      <c r="H24" s="73">
        <v>-12</v>
      </c>
      <c r="I24" s="72">
        <v>-15.5</v>
      </c>
      <c r="J24" s="72">
        <v>-19</v>
      </c>
      <c r="K24" s="73">
        <v>-39</v>
      </c>
      <c r="L24" s="72">
        <v>-80</v>
      </c>
      <c r="M24" s="72">
        <v>-122</v>
      </c>
      <c r="N24" s="73">
        <v>-165</v>
      </c>
      <c r="O24" s="72">
        <v>-210</v>
      </c>
      <c r="P24" s="72">
        <v>-257</v>
      </c>
      <c r="Q24" s="73">
        <v>-305</v>
      </c>
      <c r="R24" s="71" t="s">
        <v>38</v>
      </c>
    </row>
    <row r="25" spans="3:18" ht="15" x14ac:dyDescent="0.2">
      <c r="E25" s="11" t="s">
        <v>8</v>
      </c>
      <c r="F25" s="44">
        <f>F24/F22</f>
        <v>-4.8</v>
      </c>
      <c r="G25" s="44">
        <f t="shared" ref="G25:Q25" si="2">G24/G22</f>
        <v>-4.25</v>
      </c>
      <c r="H25" s="44">
        <f t="shared" si="2"/>
        <v>-4</v>
      </c>
      <c r="I25" s="44">
        <f t="shared" si="2"/>
        <v>-3.875</v>
      </c>
      <c r="J25" s="44">
        <f t="shared" si="2"/>
        <v>-3.8</v>
      </c>
      <c r="K25" s="44">
        <f t="shared" si="2"/>
        <v>-3.9</v>
      </c>
      <c r="L25" s="44">
        <f t="shared" si="2"/>
        <v>-4</v>
      </c>
      <c r="M25" s="44">
        <f t="shared" si="2"/>
        <v>-4.0666666666666664</v>
      </c>
      <c r="N25" s="44">
        <f t="shared" si="2"/>
        <v>-4.125</v>
      </c>
      <c r="O25" s="44">
        <f t="shared" si="2"/>
        <v>-4.2</v>
      </c>
      <c r="P25" s="44">
        <f t="shared" si="2"/>
        <v>-4.2833333333333332</v>
      </c>
      <c r="Q25" s="44">
        <f t="shared" si="2"/>
        <v>-4.3571428571428568</v>
      </c>
    </row>
    <row r="26" spans="3:18" ht="15" x14ac:dyDescent="0.2">
      <c r="E26" s="8" t="s">
        <v>9</v>
      </c>
      <c r="F26" s="45">
        <f>SQRT(12*32.2*F25^2/(4*$F$11*($F$10*56)*$F$12^2))</f>
        <v>0.77543999738373293</v>
      </c>
      <c r="G26" s="45">
        <f t="shared" ref="G26:Q26" si="3">SQRT(12*32.2*G25^2/(4*$F$11*($F$10*56)*$F$12^2))</f>
        <v>0.68658749768351357</v>
      </c>
      <c r="H26" s="46">
        <f t="shared" si="3"/>
        <v>0.64619999781977744</v>
      </c>
      <c r="I26" s="45">
        <f t="shared" si="3"/>
        <v>0.62600624788790937</v>
      </c>
      <c r="J26" s="45">
        <f t="shared" si="3"/>
        <v>0.61388999792878851</v>
      </c>
      <c r="K26" s="46">
        <f t="shared" si="3"/>
        <v>0.63004499787428303</v>
      </c>
      <c r="L26" s="45">
        <f t="shared" si="3"/>
        <v>0.64619999781977744</v>
      </c>
      <c r="M26" s="45">
        <f t="shared" si="3"/>
        <v>0.65696999778344034</v>
      </c>
      <c r="N26" s="46">
        <f t="shared" si="3"/>
        <v>0.6663937477516455</v>
      </c>
      <c r="O26" s="45">
        <f t="shared" si="3"/>
        <v>0.67850999771076637</v>
      </c>
      <c r="P26" s="45">
        <f t="shared" si="3"/>
        <v>0.69197249766534497</v>
      </c>
      <c r="Q26" s="46">
        <f t="shared" si="3"/>
        <v>0.70389642619654325</v>
      </c>
      <c r="R26" s="71" t="s">
        <v>39</v>
      </c>
    </row>
    <row r="27" spans="3:18" ht="15" x14ac:dyDescent="0.2">
      <c r="C27" s="70" t="s">
        <v>49</v>
      </c>
      <c r="E27" s="14" t="s">
        <v>10</v>
      </c>
      <c r="F27" s="47">
        <f>(F24/F23)*-1</f>
        <v>0.79999999999999993</v>
      </c>
      <c r="G27" s="47">
        <f t="shared" ref="G27:Q27" si="4">(G24/G23)*-1</f>
        <v>1.0365853658536586</v>
      </c>
      <c r="H27" s="48">
        <f t="shared" si="4"/>
        <v>1.1764705882352942</v>
      </c>
      <c r="I27" s="47">
        <f t="shared" si="4"/>
        <v>1.3135593220338981</v>
      </c>
      <c r="J27" s="47">
        <f t="shared" si="4"/>
        <v>1.4393939393939394</v>
      </c>
      <c r="K27" s="48">
        <f t="shared" si="4"/>
        <v>1.95</v>
      </c>
      <c r="L27" s="47">
        <f t="shared" si="4"/>
        <v>2.6666666666666665</v>
      </c>
      <c r="M27" s="47">
        <f t="shared" si="4"/>
        <v>3.05</v>
      </c>
      <c r="N27" s="48">
        <f t="shared" si="4"/>
        <v>3.3</v>
      </c>
      <c r="O27" s="47">
        <f t="shared" si="4"/>
        <v>3.4883720930232558</v>
      </c>
      <c r="P27" s="47">
        <f t="shared" si="4"/>
        <v>3.6505681818181817</v>
      </c>
      <c r="Q27" s="48">
        <f t="shared" si="4"/>
        <v>3.7747524752475248</v>
      </c>
      <c r="R27" s="39"/>
    </row>
    <row r="28" spans="3:18" x14ac:dyDescent="0.2">
      <c r="G28" s="78">
        <f>G27/F27</f>
        <v>1.2957317073170733</v>
      </c>
      <c r="H28" s="78">
        <f t="shared" ref="H28:I28" si="5">H27/G27</f>
        <v>1.1349480968858132</v>
      </c>
      <c r="I28" s="78">
        <f t="shared" si="5"/>
        <v>1.1165254237288134</v>
      </c>
      <c r="J28" s="78">
        <f>J27/I27</f>
        <v>1.0957966764418379</v>
      </c>
      <c r="K28" s="78">
        <f t="shared" ref="K28:Q28" si="6">K27/J27</f>
        <v>1.354736842105263</v>
      </c>
      <c r="L28" s="78">
        <f t="shared" si="6"/>
        <v>1.3675213675213675</v>
      </c>
      <c r="M28" s="78">
        <f t="shared" si="6"/>
        <v>1.14375</v>
      </c>
      <c r="N28" s="78">
        <f t="shared" si="6"/>
        <v>1.0819672131147542</v>
      </c>
      <c r="O28" s="78">
        <f t="shared" si="6"/>
        <v>1.0570824524312896</v>
      </c>
      <c r="P28" s="78">
        <f t="shared" si="6"/>
        <v>1.046496212121212</v>
      </c>
      <c r="Q28" s="78">
        <f t="shared" si="6"/>
        <v>1.0340177986670263</v>
      </c>
    </row>
    <row r="29" spans="3:18" x14ac:dyDescent="0.2">
      <c r="G29" s="74">
        <f>G27-F27</f>
        <v>0.23658536585365864</v>
      </c>
      <c r="H29" s="74">
        <f t="shared" ref="H29:J29" si="7">H27-G27</f>
        <v>0.13988522238163559</v>
      </c>
      <c r="I29" s="74">
        <f t="shared" si="7"/>
        <v>0.13708873379860398</v>
      </c>
      <c r="J29" s="74">
        <f t="shared" si="7"/>
        <v>0.12583461736004131</v>
      </c>
      <c r="K29" s="74">
        <f>(K27-J27)/5</f>
        <v>0.1021212121212121</v>
      </c>
      <c r="L29" s="74">
        <f>(L27-K27)/10</f>
        <v>7.1666666666666656E-2</v>
      </c>
      <c r="M29" s="74">
        <f t="shared" ref="M29:Q29" si="8">(M27-L27)/10</f>
        <v>3.833333333333333E-2</v>
      </c>
      <c r="N29" s="74">
        <f t="shared" si="8"/>
        <v>2.5000000000000001E-2</v>
      </c>
      <c r="O29" s="74">
        <f t="shared" si="8"/>
        <v>1.8837209302325596E-2</v>
      </c>
      <c r="P29" s="74">
        <f t="shared" si="8"/>
        <v>1.6219608879492586E-2</v>
      </c>
      <c r="Q29" s="74">
        <f t="shared" si="8"/>
        <v>1.2418429342934311E-2</v>
      </c>
    </row>
    <row r="30" spans="3:18" x14ac:dyDescent="0.2">
      <c r="G30" s="74">
        <f>G27-F27</f>
        <v>0.23658536585365864</v>
      </c>
      <c r="H30" s="74">
        <f t="shared" ref="H30:Q30" si="9">H27-G27</f>
        <v>0.13988522238163559</v>
      </c>
      <c r="I30" s="74">
        <f t="shared" si="9"/>
        <v>0.13708873379860398</v>
      </c>
      <c r="J30" s="74">
        <f t="shared" si="9"/>
        <v>0.12583461736004131</v>
      </c>
      <c r="K30" s="74">
        <f t="shared" si="9"/>
        <v>0.51060606060606051</v>
      </c>
      <c r="L30" s="74">
        <f t="shared" si="9"/>
        <v>0.71666666666666656</v>
      </c>
      <c r="M30" s="74">
        <f t="shared" si="9"/>
        <v>0.3833333333333333</v>
      </c>
      <c r="N30" s="74">
        <f t="shared" si="9"/>
        <v>0.25</v>
      </c>
      <c r="O30" s="74">
        <f t="shared" si="9"/>
        <v>0.18837209302325597</v>
      </c>
      <c r="P30" s="74">
        <f t="shared" si="9"/>
        <v>0.16219608879492586</v>
      </c>
      <c r="Q30" s="74">
        <f t="shared" si="9"/>
        <v>0.12418429342934312</v>
      </c>
    </row>
    <row r="39" spans="2:18" x14ac:dyDescent="0.2">
      <c r="F39" s="79">
        <f>(F23/F49)</f>
        <v>1</v>
      </c>
      <c r="G39" s="79">
        <f t="shared" ref="G39:Q39" si="10">(G23/G49)</f>
        <v>0.87234042553191482</v>
      </c>
      <c r="H39" s="79">
        <f t="shared" si="10"/>
        <v>0.82926829268292668</v>
      </c>
      <c r="I39" s="79">
        <f t="shared" si="10"/>
        <v>0.79194630872483229</v>
      </c>
      <c r="J39" s="79">
        <f t="shared" si="10"/>
        <v>0.77647058823529402</v>
      </c>
      <c r="K39" s="79">
        <f t="shared" si="10"/>
        <v>0.7142857142857143</v>
      </c>
      <c r="L39" s="79">
        <f t="shared" si="10"/>
        <v>0.65217391304347827</v>
      </c>
      <c r="M39" s="79">
        <f t="shared" si="10"/>
        <v>0.66666666666666663</v>
      </c>
      <c r="N39" s="79">
        <f t="shared" si="10"/>
        <v>0.66666666666666663</v>
      </c>
      <c r="O39" s="79">
        <f t="shared" si="10"/>
        <v>0.66153846153846152</v>
      </c>
      <c r="P39" s="79">
        <f t="shared" si="10"/>
        <v>0.66415094339622649</v>
      </c>
      <c r="Q39" s="79">
        <f t="shared" si="10"/>
        <v>0.6622950819672131</v>
      </c>
    </row>
    <row r="40" spans="2:18" x14ac:dyDescent="0.2">
      <c r="F40" s="77">
        <f>(F49/F23)</f>
        <v>1</v>
      </c>
      <c r="G40" s="77">
        <f t="shared" ref="G40:Q40" si="11">(G49/G23)</f>
        <v>1.1463414634146343</v>
      </c>
      <c r="H40" s="77">
        <f t="shared" si="11"/>
        <v>1.2058823529411766</v>
      </c>
      <c r="I40" s="77">
        <f t="shared" si="11"/>
        <v>1.2627118644067796</v>
      </c>
      <c r="J40" s="77">
        <f t="shared" si="11"/>
        <v>1.2878787878787878</v>
      </c>
      <c r="K40" s="77">
        <f>(K49/K23)</f>
        <v>1.4</v>
      </c>
      <c r="L40" s="77">
        <f t="shared" si="11"/>
        <v>1.5333333333333334</v>
      </c>
      <c r="M40" s="77">
        <f t="shared" si="11"/>
        <v>1.5</v>
      </c>
      <c r="N40" s="77">
        <f t="shared" si="11"/>
        <v>1.5</v>
      </c>
      <c r="O40" s="77">
        <f t="shared" si="11"/>
        <v>1.5116279069767442</v>
      </c>
      <c r="P40" s="77">
        <f t="shared" si="11"/>
        <v>1.5056818181818181</v>
      </c>
      <c r="Q40" s="77">
        <f t="shared" si="11"/>
        <v>1.5099009900990099</v>
      </c>
    </row>
    <row r="41" spans="2:18" ht="15" x14ac:dyDescent="0.2">
      <c r="B41" s="69" t="s">
        <v>36</v>
      </c>
      <c r="E41" s="1" t="s">
        <v>13</v>
      </c>
      <c r="F41" s="1">
        <v>1</v>
      </c>
      <c r="G41" s="1">
        <v>2</v>
      </c>
      <c r="H41" s="1">
        <v>3</v>
      </c>
      <c r="I41" s="1">
        <v>4</v>
      </c>
      <c r="J41" s="1">
        <v>5</v>
      </c>
      <c r="K41" s="1">
        <v>10</v>
      </c>
      <c r="L41" s="1">
        <v>20</v>
      </c>
      <c r="M41" s="1">
        <v>30</v>
      </c>
      <c r="N41" s="1">
        <v>40</v>
      </c>
      <c r="O41" s="1">
        <v>50</v>
      </c>
      <c r="P41" s="1">
        <v>60</v>
      </c>
      <c r="Q41" s="1">
        <v>70</v>
      </c>
    </row>
    <row r="42" spans="2:18" ht="13.5" x14ac:dyDescent="0.2">
      <c r="B42" s="69" t="s">
        <v>46</v>
      </c>
      <c r="E42" s="9" t="s">
        <v>6</v>
      </c>
      <c r="F42" s="42">
        <f t="shared" ref="F42:Q42" si="12">F49/2</f>
        <v>3</v>
      </c>
      <c r="G42" s="42">
        <f t="shared" si="12"/>
        <v>4.7</v>
      </c>
      <c r="H42" s="43">
        <f t="shared" si="12"/>
        <v>6.15</v>
      </c>
      <c r="I42" s="42">
        <f t="shared" si="12"/>
        <v>7.45</v>
      </c>
      <c r="J42" s="42">
        <f t="shared" si="12"/>
        <v>8.5</v>
      </c>
      <c r="K42" s="43">
        <f t="shared" si="12"/>
        <v>14</v>
      </c>
      <c r="L42" s="42">
        <f t="shared" si="12"/>
        <v>23</v>
      </c>
      <c r="M42" s="42">
        <f t="shared" si="12"/>
        <v>30</v>
      </c>
      <c r="N42" s="43">
        <f t="shared" si="12"/>
        <v>37.5</v>
      </c>
      <c r="O42" s="42">
        <f t="shared" si="12"/>
        <v>45.5</v>
      </c>
      <c r="P42" s="42">
        <f t="shared" si="12"/>
        <v>53</v>
      </c>
      <c r="Q42" s="43">
        <f t="shared" si="12"/>
        <v>61</v>
      </c>
      <c r="R42" t="s">
        <v>51</v>
      </c>
    </row>
    <row r="43" spans="2:18" ht="13.5" x14ac:dyDescent="0.2">
      <c r="E43" s="9" t="s">
        <v>7</v>
      </c>
      <c r="F43" s="42">
        <f t="shared" ref="F43:Q43" si="13">F50/2</f>
        <v>-2.4</v>
      </c>
      <c r="G43" s="42">
        <f t="shared" si="13"/>
        <v>-4.25</v>
      </c>
      <c r="H43" s="43">
        <f t="shared" si="13"/>
        <v>-6</v>
      </c>
      <c r="I43" s="42">
        <f t="shared" si="13"/>
        <v>-7.75</v>
      </c>
      <c r="J43" s="42">
        <f t="shared" si="13"/>
        <v>-9.5</v>
      </c>
      <c r="K43" s="43">
        <f t="shared" si="13"/>
        <v>-19.5</v>
      </c>
      <c r="L43" s="42">
        <f t="shared" si="13"/>
        <v>-40</v>
      </c>
      <c r="M43" s="42">
        <f t="shared" si="13"/>
        <v>-61</v>
      </c>
      <c r="N43" s="43">
        <f t="shared" si="13"/>
        <v>-82.5</v>
      </c>
      <c r="O43" s="42">
        <f t="shared" si="13"/>
        <v>-105</v>
      </c>
      <c r="P43" s="42">
        <f t="shared" si="13"/>
        <v>-128.5</v>
      </c>
      <c r="Q43" s="43">
        <f t="shared" si="13"/>
        <v>-152.5</v>
      </c>
    </row>
    <row r="45" spans="2:18" ht="13.5" x14ac:dyDescent="0.2">
      <c r="E45" s="9" t="s">
        <v>6</v>
      </c>
      <c r="F45" s="42">
        <v>5.333333333333333</v>
      </c>
      <c r="G45" s="42">
        <v>8.4444444444444446</v>
      </c>
      <c r="H45" s="43">
        <v>12.311111111111112</v>
      </c>
      <c r="I45" s="42">
        <v>16.666666666666668</v>
      </c>
      <c r="J45" s="42">
        <v>20.755555555555553</v>
      </c>
      <c r="K45" s="43">
        <v>33.733333333333327</v>
      </c>
      <c r="L45" s="42">
        <v>49.933333333333323</v>
      </c>
      <c r="M45" s="42">
        <v>64.066666666666663</v>
      </c>
      <c r="N45" s="43">
        <v>78.177777777777777</v>
      </c>
      <c r="O45" s="42">
        <v>93.1111111111111</v>
      </c>
      <c r="P45" s="42">
        <v>107.62222222222221</v>
      </c>
      <c r="Q45" s="43">
        <v>121.80000000000001</v>
      </c>
      <c r="R45" s="18" t="s">
        <v>35</v>
      </c>
    </row>
    <row r="46" spans="2:18" ht="13.5" x14ac:dyDescent="0.2">
      <c r="E46" s="9" t="s">
        <v>7</v>
      </c>
      <c r="F46" s="64">
        <v>-4.333333333333333</v>
      </c>
      <c r="G46" s="64">
        <v>-6.5111111111111111</v>
      </c>
      <c r="H46" s="65">
        <v>-9.4222222222222243</v>
      </c>
      <c r="I46" s="64">
        <v>-12.555555555555557</v>
      </c>
      <c r="J46" s="64">
        <v>-16.444444444444443</v>
      </c>
      <c r="K46" s="65">
        <v>-37.31111111111111</v>
      </c>
      <c r="L46" s="64">
        <v>-78.533333333333346</v>
      </c>
      <c r="M46" s="64">
        <v>-120.37777777777777</v>
      </c>
      <c r="N46" s="65">
        <v>-164.28888888888889</v>
      </c>
      <c r="O46" s="64">
        <v>-211.64444444444445</v>
      </c>
      <c r="P46" s="64">
        <v>-258.53333333333336</v>
      </c>
      <c r="Q46" s="65">
        <v>-306.06666666666666</v>
      </c>
      <c r="R46" s="18" t="s">
        <v>30</v>
      </c>
    </row>
    <row r="47" spans="2:18" ht="15" x14ac:dyDescent="0.2">
      <c r="E47" s="8" t="s">
        <v>9</v>
      </c>
      <c r="F47" s="45">
        <v>0.7</v>
      </c>
      <c r="G47" s="45">
        <v>0.52555555555555555</v>
      </c>
      <c r="H47" s="46">
        <v>0.50555555555555565</v>
      </c>
      <c r="I47" s="45">
        <v>0.51</v>
      </c>
      <c r="J47" s="45">
        <v>0.5311111111111112</v>
      </c>
      <c r="K47" s="46">
        <v>0.60333333333333339</v>
      </c>
      <c r="L47" s="45">
        <v>0.63555555555555565</v>
      </c>
      <c r="M47" s="45">
        <v>0.64777777777777779</v>
      </c>
      <c r="N47" s="46">
        <v>0.6644444444444445</v>
      </c>
      <c r="O47" s="45">
        <v>0.681111111111111</v>
      </c>
      <c r="P47" s="45">
        <v>0.69222222222222229</v>
      </c>
      <c r="Q47" s="46">
        <v>0.70444444444444443</v>
      </c>
      <c r="R47" t="s">
        <v>28</v>
      </c>
    </row>
    <row r="48" spans="2:18" ht="15" x14ac:dyDescent="0.2">
      <c r="E48" s="1" t="s">
        <v>12</v>
      </c>
      <c r="F48" s="1">
        <v>1</v>
      </c>
      <c r="G48" s="1">
        <v>2</v>
      </c>
      <c r="H48" s="1">
        <v>3</v>
      </c>
      <c r="I48" s="1">
        <v>4</v>
      </c>
      <c r="J48" s="1">
        <v>5</v>
      </c>
      <c r="K48" s="1">
        <v>10</v>
      </c>
      <c r="L48" s="1">
        <v>20</v>
      </c>
      <c r="M48" s="1">
        <v>30</v>
      </c>
      <c r="N48" s="1">
        <v>40</v>
      </c>
      <c r="O48" s="1">
        <v>50</v>
      </c>
      <c r="P48" s="1">
        <v>60</v>
      </c>
      <c r="Q48" s="1">
        <v>70</v>
      </c>
      <c r="R48" t="s">
        <v>55</v>
      </c>
    </row>
    <row r="49" spans="2:18" ht="13.5" x14ac:dyDescent="0.2">
      <c r="B49" s="18" t="s">
        <v>53</v>
      </c>
      <c r="E49" s="9" t="s">
        <v>6</v>
      </c>
      <c r="F49" s="64">
        <v>6</v>
      </c>
      <c r="G49" s="64">
        <v>9.4</v>
      </c>
      <c r="H49" s="65">
        <v>12.3</v>
      </c>
      <c r="I49" s="64">
        <v>14.9</v>
      </c>
      <c r="J49" s="64">
        <v>17</v>
      </c>
      <c r="K49" s="65">
        <v>28</v>
      </c>
      <c r="L49" s="64">
        <v>46</v>
      </c>
      <c r="M49" s="64">
        <v>60</v>
      </c>
      <c r="N49" s="65">
        <v>75</v>
      </c>
      <c r="O49" s="64">
        <v>91</v>
      </c>
      <c r="P49" s="64">
        <v>106</v>
      </c>
      <c r="Q49" s="65">
        <v>122</v>
      </c>
      <c r="R49" s="75" t="s">
        <v>50</v>
      </c>
    </row>
    <row r="50" spans="2:18" ht="13.5" x14ac:dyDescent="0.2">
      <c r="B50" s="18" t="s">
        <v>54</v>
      </c>
      <c r="E50" s="9" t="s">
        <v>7</v>
      </c>
      <c r="F50" s="64">
        <v>-4.8</v>
      </c>
      <c r="G50" s="64">
        <v>-8.5</v>
      </c>
      <c r="H50" s="65">
        <v>-12</v>
      </c>
      <c r="I50" s="64">
        <v>-15.5</v>
      </c>
      <c r="J50" s="64">
        <v>-19</v>
      </c>
      <c r="K50" s="65">
        <v>-39</v>
      </c>
      <c r="L50" s="64">
        <v>-80</v>
      </c>
      <c r="M50" s="64">
        <v>-122</v>
      </c>
      <c r="N50" s="65">
        <v>-165</v>
      </c>
      <c r="O50" s="64">
        <v>-210</v>
      </c>
      <c r="P50" s="64">
        <v>-257</v>
      </c>
      <c r="Q50" s="65">
        <v>-305</v>
      </c>
      <c r="R50" s="63" t="s">
        <v>29</v>
      </c>
    </row>
    <row r="51" spans="2:18" ht="15" x14ac:dyDescent="0.2">
      <c r="E51" s="11" t="s">
        <v>8</v>
      </c>
      <c r="F51" s="44">
        <f>F50/F48</f>
        <v>-4.8</v>
      </c>
      <c r="G51" s="44">
        <f t="shared" ref="G51:Q51" si="14">G50/G48</f>
        <v>-4.25</v>
      </c>
      <c r="H51" s="44">
        <f t="shared" si="14"/>
        <v>-4</v>
      </c>
      <c r="I51" s="44">
        <f t="shared" si="14"/>
        <v>-3.875</v>
      </c>
      <c r="J51" s="44">
        <f t="shared" si="14"/>
        <v>-3.8</v>
      </c>
      <c r="K51" s="44">
        <f t="shared" si="14"/>
        <v>-3.9</v>
      </c>
      <c r="L51" s="44">
        <f t="shared" si="14"/>
        <v>-4</v>
      </c>
      <c r="M51" s="44">
        <f t="shared" si="14"/>
        <v>-4.0666666666666664</v>
      </c>
      <c r="N51" s="44">
        <f t="shared" si="14"/>
        <v>-4.125</v>
      </c>
      <c r="O51" s="44">
        <f t="shared" si="14"/>
        <v>-4.2</v>
      </c>
      <c r="P51" s="44">
        <f t="shared" si="14"/>
        <v>-4.2833333333333332</v>
      </c>
      <c r="Q51" s="44">
        <f t="shared" si="14"/>
        <v>-4.3571428571428568</v>
      </c>
    </row>
    <row r="52" spans="2:18" ht="15" x14ac:dyDescent="0.2">
      <c r="B52" s="18"/>
      <c r="E52" s="8" t="s">
        <v>9</v>
      </c>
      <c r="F52" s="45">
        <f>SQRT(12*32.2*F51^2/(4*$F$11*($F$10*56)*$F$12^2))</f>
        <v>0.77543999738373293</v>
      </c>
      <c r="G52" s="45">
        <f t="shared" ref="G52:Q52" si="15">SQRT(12*32.2*G51^2/(4*$F$11*($F$10*56)*$F$12^2))</f>
        <v>0.68658749768351357</v>
      </c>
      <c r="H52" s="46">
        <f t="shared" si="15"/>
        <v>0.64619999781977744</v>
      </c>
      <c r="I52" s="45">
        <f t="shared" si="15"/>
        <v>0.62600624788790937</v>
      </c>
      <c r="J52" s="45">
        <f t="shared" si="15"/>
        <v>0.61388999792878851</v>
      </c>
      <c r="K52" s="46">
        <f t="shared" si="15"/>
        <v>0.63004499787428303</v>
      </c>
      <c r="L52" s="45">
        <f t="shared" si="15"/>
        <v>0.64619999781977744</v>
      </c>
      <c r="M52" s="45">
        <f t="shared" si="15"/>
        <v>0.65696999778344034</v>
      </c>
      <c r="N52" s="46">
        <f t="shared" si="15"/>
        <v>0.6663937477516455</v>
      </c>
      <c r="O52" s="45">
        <f t="shared" si="15"/>
        <v>0.67850999771076637</v>
      </c>
      <c r="P52" s="45">
        <f t="shared" si="15"/>
        <v>0.69197249766534497</v>
      </c>
      <c r="Q52" s="46">
        <f t="shared" si="15"/>
        <v>0.70389642619654325</v>
      </c>
      <c r="R52" s="75" t="s">
        <v>41</v>
      </c>
    </row>
    <row r="53" spans="2:18" ht="15" x14ac:dyDescent="0.2">
      <c r="C53" s="70" t="s">
        <v>49</v>
      </c>
      <c r="E53" s="14" t="s">
        <v>10</v>
      </c>
      <c r="F53" s="47">
        <f>(F50/F49)*-1</f>
        <v>0.79999999999999993</v>
      </c>
      <c r="G53" s="47">
        <f t="shared" ref="G53:Q53" si="16">(G50/G49)*-1</f>
        <v>0.90425531914893609</v>
      </c>
      <c r="H53" s="48">
        <f t="shared" si="16"/>
        <v>0.97560975609756095</v>
      </c>
      <c r="I53" s="47">
        <f t="shared" si="16"/>
        <v>1.0402684563758389</v>
      </c>
      <c r="J53" s="47">
        <f t="shared" si="16"/>
        <v>1.1176470588235294</v>
      </c>
      <c r="K53" s="48">
        <f t="shared" si="16"/>
        <v>1.3928571428571428</v>
      </c>
      <c r="L53" s="47">
        <f t="shared" si="16"/>
        <v>1.7391304347826086</v>
      </c>
      <c r="M53" s="47">
        <f t="shared" si="16"/>
        <v>2.0333333333333332</v>
      </c>
      <c r="N53" s="48">
        <f t="shared" si="16"/>
        <v>2.2000000000000002</v>
      </c>
      <c r="O53" s="47">
        <f t="shared" si="16"/>
        <v>2.3076923076923075</v>
      </c>
      <c r="P53" s="47">
        <f t="shared" si="16"/>
        <v>2.4245283018867925</v>
      </c>
      <c r="Q53" s="48">
        <f t="shared" si="16"/>
        <v>2.5</v>
      </c>
      <c r="R53" s="39"/>
    </row>
    <row r="54" spans="2:18" x14ac:dyDescent="0.2">
      <c r="G54" s="78">
        <f>G53/F53</f>
        <v>1.1303191489361701</v>
      </c>
      <c r="H54" s="78">
        <f t="shared" ref="H54" si="17">H53/G53</f>
        <v>1.0789096126255382</v>
      </c>
      <c r="I54" s="78">
        <f t="shared" ref="I54" si="18">I53/H53</f>
        <v>1.0662751677852349</v>
      </c>
      <c r="J54" s="78">
        <f>J53/I53</f>
        <v>1.07438330170778</v>
      </c>
      <c r="K54" s="78">
        <f t="shared" ref="K54" si="19">K53/J53</f>
        <v>1.2462406015037593</v>
      </c>
      <c r="L54" s="78">
        <f t="shared" ref="L54" si="20">L53/K53</f>
        <v>1.2486064659977705</v>
      </c>
      <c r="M54" s="78">
        <f t="shared" ref="M54" si="21">M53/L53</f>
        <v>1.1691666666666667</v>
      </c>
      <c r="N54" s="78">
        <f t="shared" ref="N54" si="22">N53/M53</f>
        <v>1.0819672131147542</v>
      </c>
      <c r="O54" s="78">
        <f t="shared" ref="O54" si="23">O53/N53</f>
        <v>1.0489510489510487</v>
      </c>
      <c r="P54" s="78">
        <f t="shared" ref="P54" si="24">P53/O53</f>
        <v>1.0506289308176102</v>
      </c>
      <c r="Q54" s="78">
        <f t="shared" ref="Q54" si="25">Q53/P53</f>
        <v>1.0311284046692606</v>
      </c>
    </row>
    <row r="55" spans="2:18" x14ac:dyDescent="0.2">
      <c r="G55" s="74">
        <f>G53-F53</f>
        <v>0.10425531914893615</v>
      </c>
      <c r="H55" s="74">
        <f t="shared" ref="H55:J55" si="26">H53-G53</f>
        <v>7.1354436948624866E-2</v>
      </c>
      <c r="I55" s="74">
        <f t="shared" si="26"/>
        <v>6.4658700278277914E-2</v>
      </c>
      <c r="J55" s="74">
        <f t="shared" si="26"/>
        <v>7.737860244769057E-2</v>
      </c>
      <c r="K55" s="74">
        <f>(K53-J53)/5</f>
        <v>5.5042016806722674E-2</v>
      </c>
      <c r="L55" s="74">
        <f>(L53-K53)/10</f>
        <v>3.4627329192546588E-2</v>
      </c>
      <c r="M55" s="74">
        <f t="shared" ref="M55:Q55" si="27">(M53-L53)/10</f>
        <v>2.9420289855072456E-2</v>
      </c>
      <c r="N55" s="74">
        <f t="shared" si="27"/>
        <v>1.6666666666666698E-2</v>
      </c>
      <c r="O55" s="74">
        <f t="shared" si="27"/>
        <v>1.0769230769230731E-2</v>
      </c>
      <c r="P55" s="74">
        <f t="shared" si="27"/>
        <v>1.1683599419448498E-2</v>
      </c>
      <c r="Q55" s="74">
        <f t="shared" si="27"/>
        <v>7.547169811320753E-3</v>
      </c>
    </row>
    <row r="56" spans="2:18" x14ac:dyDescent="0.2">
      <c r="G56" s="74">
        <f>G53-F53</f>
        <v>0.10425531914893615</v>
      </c>
      <c r="H56" s="74">
        <f t="shared" ref="H56:Q56" si="28">H53-G53</f>
        <v>7.1354436948624866E-2</v>
      </c>
      <c r="I56" s="74">
        <f t="shared" si="28"/>
        <v>6.4658700278277914E-2</v>
      </c>
      <c r="J56" s="74">
        <f t="shared" si="28"/>
        <v>7.737860244769057E-2</v>
      </c>
      <c r="K56" s="74">
        <f t="shared" si="28"/>
        <v>0.27521008403361336</v>
      </c>
      <c r="L56" s="74">
        <f t="shared" si="28"/>
        <v>0.34627329192546585</v>
      </c>
      <c r="M56" s="74">
        <f t="shared" si="28"/>
        <v>0.29420289855072457</v>
      </c>
      <c r="N56" s="74">
        <f t="shared" si="28"/>
        <v>0.16666666666666696</v>
      </c>
      <c r="O56" s="74">
        <f t="shared" si="28"/>
        <v>0.10769230769230731</v>
      </c>
      <c r="P56" s="74">
        <f t="shared" si="28"/>
        <v>0.11683599419448498</v>
      </c>
      <c r="Q56" s="74">
        <f t="shared" si="28"/>
        <v>7.547169811320753E-2</v>
      </c>
    </row>
    <row r="57" spans="2:18" x14ac:dyDescent="0.2">
      <c r="G57" s="58">
        <f t="shared" ref="G57:Q57" si="29">G52-F52</f>
        <v>-8.8852499700219356E-2</v>
      </c>
      <c r="H57" s="58">
        <f t="shared" si="29"/>
        <v>-4.0387499863736132E-2</v>
      </c>
      <c r="I57" s="66">
        <f t="shared" si="29"/>
        <v>-2.0193749931868066E-2</v>
      </c>
      <c r="J57" s="66">
        <f t="shared" si="29"/>
        <v>-1.2116249959120862E-2</v>
      </c>
      <c r="K57" s="66">
        <f t="shared" si="29"/>
        <v>1.6154999945494519E-2</v>
      </c>
      <c r="L57" s="66">
        <f t="shared" si="29"/>
        <v>1.6154999945494408E-2</v>
      </c>
      <c r="M57" s="66">
        <f t="shared" si="29"/>
        <v>1.0769999963662902E-2</v>
      </c>
      <c r="N57" s="66">
        <f t="shared" si="29"/>
        <v>9.423749968205164E-3</v>
      </c>
      <c r="O57" s="66">
        <f t="shared" si="29"/>
        <v>1.2116249959120862E-2</v>
      </c>
      <c r="P57" s="66">
        <f t="shared" si="29"/>
        <v>1.3462499954578599E-2</v>
      </c>
      <c r="Q57" s="66">
        <f t="shared" si="29"/>
        <v>1.192392853119828E-2</v>
      </c>
      <c r="R57" t="s">
        <v>52</v>
      </c>
    </row>
    <row r="89" spans="2:18" x14ac:dyDescent="0.2">
      <c r="E89" s="41"/>
      <c r="F89" s="77">
        <f>(F98/F49)</f>
        <v>1</v>
      </c>
      <c r="G89" s="77">
        <f t="shared" ref="G89:Q89" si="30">(G98/G49)</f>
        <v>0.97872340425531901</v>
      </c>
      <c r="H89" s="77">
        <f t="shared" si="30"/>
        <v>0.95934959349593496</v>
      </c>
      <c r="I89" s="77">
        <f t="shared" si="30"/>
        <v>0.93959731543624159</v>
      </c>
      <c r="J89" s="77">
        <f t="shared" si="30"/>
        <v>0.94117647058823528</v>
      </c>
      <c r="K89" s="77">
        <f t="shared" si="30"/>
        <v>0.8928571428571429</v>
      </c>
      <c r="L89" s="77">
        <f t="shared" si="30"/>
        <v>0.85</v>
      </c>
      <c r="M89" s="77">
        <f t="shared" si="30"/>
        <v>0.85</v>
      </c>
      <c r="N89" s="77">
        <f t="shared" si="30"/>
        <v>0.85</v>
      </c>
      <c r="O89" s="77">
        <f t="shared" si="30"/>
        <v>0.85</v>
      </c>
      <c r="P89" s="77">
        <f t="shared" si="30"/>
        <v>0.85</v>
      </c>
      <c r="Q89" s="77">
        <f t="shared" si="30"/>
        <v>0.85</v>
      </c>
    </row>
    <row r="90" spans="2:18" ht="15" x14ac:dyDescent="0.2">
      <c r="B90" s="69" t="s">
        <v>36</v>
      </c>
      <c r="E90" s="1" t="s">
        <v>13</v>
      </c>
      <c r="F90" s="1">
        <v>1</v>
      </c>
      <c r="G90" s="1">
        <v>2</v>
      </c>
      <c r="H90" s="1">
        <v>3</v>
      </c>
      <c r="I90" s="1">
        <v>4</v>
      </c>
      <c r="J90" s="1">
        <v>5</v>
      </c>
      <c r="K90" s="1">
        <v>10</v>
      </c>
      <c r="L90" s="1">
        <v>20</v>
      </c>
      <c r="M90" s="1">
        <v>30</v>
      </c>
      <c r="N90" s="1">
        <v>40</v>
      </c>
      <c r="O90" s="1">
        <v>50</v>
      </c>
      <c r="P90" s="1">
        <v>60</v>
      </c>
      <c r="Q90" s="1">
        <v>70</v>
      </c>
    </row>
    <row r="91" spans="2:18" ht="13.5" x14ac:dyDescent="0.2">
      <c r="B91" s="69" t="s">
        <v>46</v>
      </c>
      <c r="E91" s="9" t="s">
        <v>6</v>
      </c>
      <c r="F91" s="42">
        <f t="shared" ref="F91:Q91" si="31">F98/2</f>
        <v>3</v>
      </c>
      <c r="G91" s="42">
        <f t="shared" si="31"/>
        <v>4.5999999999999996</v>
      </c>
      <c r="H91" s="43">
        <f t="shared" si="31"/>
        <v>5.9</v>
      </c>
      <c r="I91" s="42">
        <f t="shared" si="31"/>
        <v>7</v>
      </c>
      <c r="J91" s="42">
        <f t="shared" si="31"/>
        <v>8</v>
      </c>
      <c r="K91" s="43">
        <f t="shared" si="31"/>
        <v>12.5</v>
      </c>
      <c r="L91" s="42">
        <f t="shared" si="31"/>
        <v>19.55</v>
      </c>
      <c r="M91" s="42">
        <f t="shared" si="31"/>
        <v>25.5</v>
      </c>
      <c r="N91" s="43">
        <f t="shared" si="31"/>
        <v>31.875</v>
      </c>
      <c r="O91" s="42">
        <f t="shared" si="31"/>
        <v>38.674999999999997</v>
      </c>
      <c r="P91" s="42">
        <f t="shared" si="31"/>
        <v>45.05</v>
      </c>
      <c r="Q91" s="43">
        <f t="shared" si="31"/>
        <v>51.85</v>
      </c>
    </row>
    <row r="92" spans="2:18" ht="13.5" x14ac:dyDescent="0.2">
      <c r="E92" s="9" t="s">
        <v>7</v>
      </c>
      <c r="F92" s="42">
        <f t="shared" ref="F92:Q92" si="32">F99/2</f>
        <v>-2.4</v>
      </c>
      <c r="G92" s="42">
        <f t="shared" si="32"/>
        <v>-4.25</v>
      </c>
      <c r="H92" s="43">
        <f t="shared" si="32"/>
        <v>-6</v>
      </c>
      <c r="I92" s="42">
        <f t="shared" si="32"/>
        <v>-7.75</v>
      </c>
      <c r="J92" s="42">
        <f t="shared" si="32"/>
        <v>-9.5</v>
      </c>
      <c r="K92" s="43">
        <f t="shared" si="32"/>
        <v>-19.5</v>
      </c>
      <c r="L92" s="42">
        <f t="shared" si="32"/>
        <v>-40</v>
      </c>
      <c r="M92" s="42">
        <f t="shared" si="32"/>
        <v>-61</v>
      </c>
      <c r="N92" s="43">
        <f t="shared" si="32"/>
        <v>-82.5</v>
      </c>
      <c r="O92" s="42">
        <f t="shared" si="32"/>
        <v>-105</v>
      </c>
      <c r="P92" s="42">
        <f t="shared" si="32"/>
        <v>-128.5</v>
      </c>
      <c r="Q92" s="43">
        <f t="shared" si="32"/>
        <v>-152.5</v>
      </c>
    </row>
    <row r="94" spans="2:18" ht="13.5" x14ac:dyDescent="0.2">
      <c r="E94" s="9" t="s">
        <v>6</v>
      </c>
      <c r="F94" s="42">
        <v>5.333333333333333</v>
      </c>
      <c r="G94" s="42">
        <v>8.4444444444444446</v>
      </c>
      <c r="H94" s="43">
        <v>12.311111111111112</v>
      </c>
      <c r="I94" s="42">
        <v>16.666666666666668</v>
      </c>
      <c r="J94" s="42">
        <v>20.755555555555553</v>
      </c>
      <c r="K94" s="43">
        <v>33.733333333333327</v>
      </c>
      <c r="L94" s="42">
        <v>49.933333333333323</v>
      </c>
      <c r="M94" s="42">
        <v>64.066666666666663</v>
      </c>
      <c r="N94" s="43">
        <v>78.177777777777777</v>
      </c>
      <c r="O94" s="42">
        <v>93.1111111111111</v>
      </c>
      <c r="P94" s="42">
        <v>107.62222222222221</v>
      </c>
      <c r="Q94" s="43">
        <v>121.80000000000001</v>
      </c>
      <c r="R94" s="18" t="s">
        <v>35</v>
      </c>
    </row>
    <row r="95" spans="2:18" ht="13.5" x14ac:dyDescent="0.2">
      <c r="E95" s="9" t="s">
        <v>7</v>
      </c>
      <c r="F95" s="64">
        <v>-4.333333333333333</v>
      </c>
      <c r="G95" s="64">
        <v>-6.5111111111111111</v>
      </c>
      <c r="H95" s="65">
        <v>-9.4222222222222243</v>
      </c>
      <c r="I95" s="64">
        <v>-12.555555555555557</v>
      </c>
      <c r="J95" s="64">
        <v>-16.444444444444443</v>
      </c>
      <c r="K95" s="65">
        <v>-37.31111111111111</v>
      </c>
      <c r="L95" s="64">
        <v>-78.533333333333346</v>
      </c>
      <c r="M95" s="64">
        <v>-120.37777777777777</v>
      </c>
      <c r="N95" s="65">
        <v>-164.28888888888889</v>
      </c>
      <c r="O95" s="64">
        <v>-211.64444444444445</v>
      </c>
      <c r="P95" s="64">
        <v>-258.53333333333336</v>
      </c>
      <c r="Q95" s="65">
        <v>-306.06666666666666</v>
      </c>
      <c r="R95" s="18" t="s">
        <v>30</v>
      </c>
    </row>
    <row r="96" spans="2:18" ht="15" x14ac:dyDescent="0.2">
      <c r="E96" s="8" t="s">
        <v>9</v>
      </c>
      <c r="F96" s="45">
        <v>0.7</v>
      </c>
      <c r="G96" s="45">
        <v>0.52555555555555555</v>
      </c>
      <c r="H96" s="46">
        <v>0.50555555555555565</v>
      </c>
      <c r="I96" s="45">
        <v>0.51</v>
      </c>
      <c r="J96" s="45">
        <v>0.5311111111111112</v>
      </c>
      <c r="K96" s="46">
        <v>0.60333333333333339</v>
      </c>
      <c r="L96" s="45">
        <v>0.63555555555555565</v>
      </c>
      <c r="M96" s="45">
        <v>0.64777777777777779</v>
      </c>
      <c r="N96" s="46">
        <v>0.6644444444444445</v>
      </c>
      <c r="O96" s="45">
        <v>0.681111111111111</v>
      </c>
      <c r="P96" s="45">
        <v>0.69222222222222229</v>
      </c>
      <c r="Q96" s="46">
        <v>0.70444444444444443</v>
      </c>
      <c r="R96" t="s">
        <v>28</v>
      </c>
    </row>
    <row r="97" spans="2:18" ht="15" x14ac:dyDescent="0.2">
      <c r="E97" s="1" t="s">
        <v>12</v>
      </c>
      <c r="F97" s="1">
        <v>1</v>
      </c>
      <c r="G97" s="1">
        <v>2</v>
      </c>
      <c r="H97" s="1">
        <v>3</v>
      </c>
      <c r="I97" s="1">
        <v>4</v>
      </c>
      <c r="J97" s="1">
        <v>5</v>
      </c>
      <c r="K97" s="1">
        <v>10</v>
      </c>
      <c r="L97" s="1">
        <v>20</v>
      </c>
      <c r="M97" s="1">
        <v>30</v>
      </c>
      <c r="N97" s="1">
        <v>40</v>
      </c>
      <c r="O97" s="1">
        <v>50</v>
      </c>
      <c r="P97" s="1">
        <v>60</v>
      </c>
      <c r="Q97" s="1">
        <v>70</v>
      </c>
      <c r="R97" s="18" t="s">
        <v>57</v>
      </c>
    </row>
    <row r="98" spans="2:18" ht="13.5" x14ac:dyDescent="0.2">
      <c r="B98" s="18" t="s">
        <v>53</v>
      </c>
      <c r="E98" s="9" t="s">
        <v>6</v>
      </c>
      <c r="F98" s="64">
        <v>6</v>
      </c>
      <c r="G98" s="64">
        <v>9.1999999999999993</v>
      </c>
      <c r="H98" s="65">
        <v>11.8</v>
      </c>
      <c r="I98" s="64">
        <v>14</v>
      </c>
      <c r="J98" s="64">
        <v>16</v>
      </c>
      <c r="K98" s="65">
        <v>25</v>
      </c>
      <c r="L98" s="64">
        <f>46*0.85</f>
        <v>39.1</v>
      </c>
      <c r="M98" s="64">
        <f>60*0.85</f>
        <v>51</v>
      </c>
      <c r="N98" s="65">
        <f>75*0.85</f>
        <v>63.75</v>
      </c>
      <c r="O98" s="64">
        <f>91*0.85</f>
        <v>77.349999999999994</v>
      </c>
      <c r="P98" s="64">
        <f>106*0.85</f>
        <v>90.1</v>
      </c>
      <c r="Q98" s="65">
        <f>122*0.85</f>
        <v>103.7</v>
      </c>
      <c r="R98" s="75" t="s">
        <v>64</v>
      </c>
    </row>
    <row r="99" spans="2:18" ht="13.5" x14ac:dyDescent="0.2">
      <c r="B99" s="18" t="s">
        <v>54</v>
      </c>
      <c r="E99" s="9" t="s">
        <v>7</v>
      </c>
      <c r="F99" s="64">
        <v>-4.8</v>
      </c>
      <c r="G99" s="64">
        <v>-8.5</v>
      </c>
      <c r="H99" s="65">
        <v>-12</v>
      </c>
      <c r="I99" s="64">
        <v>-15.5</v>
      </c>
      <c r="J99" s="64">
        <v>-19</v>
      </c>
      <c r="K99" s="65">
        <v>-39</v>
      </c>
      <c r="L99" s="64">
        <v>-80</v>
      </c>
      <c r="M99" s="64">
        <v>-122</v>
      </c>
      <c r="N99" s="65">
        <v>-165</v>
      </c>
      <c r="O99" s="64">
        <v>-210</v>
      </c>
      <c r="P99" s="64">
        <v>-257</v>
      </c>
      <c r="Q99" s="65">
        <v>-305</v>
      </c>
      <c r="R99" s="63" t="s">
        <v>29</v>
      </c>
    </row>
    <row r="100" spans="2:18" ht="15" x14ac:dyDescent="0.2">
      <c r="E100" s="11" t="s">
        <v>8</v>
      </c>
      <c r="F100" s="44">
        <f>F99/F97</f>
        <v>-4.8</v>
      </c>
      <c r="G100" s="44">
        <f t="shared" ref="G100" si="33">G99/G97</f>
        <v>-4.25</v>
      </c>
      <c r="H100" s="44">
        <f t="shared" ref="H100" si="34">H99/H97</f>
        <v>-4</v>
      </c>
      <c r="I100" s="44">
        <f t="shared" ref="I100" si="35">I99/I97</f>
        <v>-3.875</v>
      </c>
      <c r="J100" s="44">
        <f t="shared" ref="J100" si="36">J99/J97</f>
        <v>-3.8</v>
      </c>
      <c r="K100" s="44">
        <f t="shared" ref="K100" si="37">K99/K97</f>
        <v>-3.9</v>
      </c>
      <c r="L100" s="44">
        <f t="shared" ref="L100" si="38">L99/L97</f>
        <v>-4</v>
      </c>
      <c r="M100" s="44">
        <f t="shared" ref="M100" si="39">M99/M97</f>
        <v>-4.0666666666666664</v>
      </c>
      <c r="N100" s="44">
        <f t="shared" ref="N100" si="40">N99/N97</f>
        <v>-4.125</v>
      </c>
      <c r="O100" s="44">
        <f t="shared" ref="O100" si="41">O99/O97</f>
        <v>-4.2</v>
      </c>
      <c r="P100" s="44">
        <f t="shared" ref="P100" si="42">P99/P97</f>
        <v>-4.2833333333333332</v>
      </c>
      <c r="Q100" s="44">
        <f t="shared" ref="Q100" si="43">Q99/Q97</f>
        <v>-4.3571428571428568</v>
      </c>
    </row>
    <row r="101" spans="2:18" ht="15" x14ac:dyDescent="0.2">
      <c r="B101" s="18"/>
      <c r="E101" s="8" t="s">
        <v>9</v>
      </c>
      <c r="F101" s="45">
        <f>SQRT(12*32.2*F100^2/(4*$F$11*($F$10*56)*$F$12^2))</f>
        <v>0.77543999738373293</v>
      </c>
      <c r="G101" s="45">
        <f t="shared" ref="G101" si="44">SQRT(12*32.2*G100^2/(4*$F$11*($F$10*56)*$F$12^2))</f>
        <v>0.68658749768351357</v>
      </c>
      <c r="H101" s="46">
        <f t="shared" ref="H101" si="45">SQRT(12*32.2*H100^2/(4*$F$11*($F$10*56)*$F$12^2))</f>
        <v>0.64619999781977744</v>
      </c>
      <c r="I101" s="45">
        <f t="shared" ref="I101" si="46">SQRT(12*32.2*I100^2/(4*$F$11*($F$10*56)*$F$12^2))</f>
        <v>0.62600624788790937</v>
      </c>
      <c r="J101" s="45">
        <f t="shared" ref="J101" si="47">SQRT(12*32.2*J100^2/(4*$F$11*($F$10*56)*$F$12^2))</f>
        <v>0.61388999792878851</v>
      </c>
      <c r="K101" s="46">
        <f t="shared" ref="K101" si="48">SQRT(12*32.2*K100^2/(4*$F$11*($F$10*56)*$F$12^2))</f>
        <v>0.63004499787428303</v>
      </c>
      <c r="L101" s="45">
        <f t="shared" ref="L101" si="49">SQRT(12*32.2*L100^2/(4*$F$11*($F$10*56)*$F$12^2))</f>
        <v>0.64619999781977744</v>
      </c>
      <c r="M101" s="45">
        <f t="shared" ref="M101" si="50">SQRT(12*32.2*M100^2/(4*$F$11*($F$10*56)*$F$12^2))</f>
        <v>0.65696999778344034</v>
      </c>
      <c r="N101" s="46">
        <f t="shared" ref="N101" si="51">SQRT(12*32.2*N100^2/(4*$F$11*($F$10*56)*$F$12^2))</f>
        <v>0.6663937477516455</v>
      </c>
      <c r="O101" s="45">
        <f t="shared" ref="O101" si="52">SQRT(12*32.2*O100^2/(4*$F$11*($F$10*56)*$F$12^2))</f>
        <v>0.67850999771076637</v>
      </c>
      <c r="P101" s="45">
        <f t="shared" ref="P101" si="53">SQRT(12*32.2*P100^2/(4*$F$11*($F$10*56)*$F$12^2))</f>
        <v>0.69197249766534497</v>
      </c>
      <c r="Q101" s="46">
        <f t="shared" ref="Q101" si="54">SQRT(12*32.2*Q100^2/(4*$F$11*($F$10*56)*$F$12^2))</f>
        <v>0.70389642619654325</v>
      </c>
      <c r="R101" s="75" t="s">
        <v>41</v>
      </c>
    </row>
    <row r="102" spans="2:18" ht="15" x14ac:dyDescent="0.2">
      <c r="C102" s="70" t="s">
        <v>49</v>
      </c>
      <c r="E102" s="14" t="s">
        <v>10</v>
      </c>
      <c r="F102" s="47">
        <f>(F99/F98)*-1</f>
        <v>0.79999999999999993</v>
      </c>
      <c r="G102" s="47">
        <f t="shared" ref="G102:Q102" si="55">(G99/G98)*-1</f>
        <v>0.92391304347826098</v>
      </c>
      <c r="H102" s="48">
        <f t="shared" si="55"/>
        <v>1.0169491525423728</v>
      </c>
      <c r="I102" s="47">
        <f t="shared" si="55"/>
        <v>1.1071428571428572</v>
      </c>
      <c r="J102" s="47">
        <f t="shared" si="55"/>
        <v>1.1875</v>
      </c>
      <c r="K102" s="48">
        <f t="shared" si="55"/>
        <v>1.56</v>
      </c>
      <c r="L102" s="47">
        <f t="shared" si="55"/>
        <v>2.0460358056265986</v>
      </c>
      <c r="M102" s="47">
        <f t="shared" si="55"/>
        <v>2.392156862745098</v>
      </c>
      <c r="N102" s="48">
        <f t="shared" si="55"/>
        <v>2.5882352941176472</v>
      </c>
      <c r="O102" s="47">
        <f t="shared" si="55"/>
        <v>2.7149321266968327</v>
      </c>
      <c r="P102" s="47">
        <f t="shared" si="55"/>
        <v>2.8523862375138735</v>
      </c>
      <c r="Q102" s="48">
        <f t="shared" si="55"/>
        <v>2.9411764705882351</v>
      </c>
      <c r="R102" s="39"/>
    </row>
    <row r="103" spans="2:18" x14ac:dyDescent="0.2">
      <c r="G103" s="78">
        <f>G102/F102</f>
        <v>1.1548913043478264</v>
      </c>
      <c r="H103" s="78">
        <f t="shared" ref="H103" si="56">H102/G102</f>
        <v>1.1006979062811564</v>
      </c>
      <c r="I103" s="78">
        <f t="shared" ref="I103" si="57">I102/H102</f>
        <v>1.0886904761904763</v>
      </c>
      <c r="J103" s="78">
        <f>J102/I102</f>
        <v>1.0725806451612903</v>
      </c>
      <c r="K103" s="78">
        <f t="shared" ref="K103" si="58">K102/J102</f>
        <v>1.3136842105263158</v>
      </c>
      <c r="L103" s="78">
        <f t="shared" ref="L103" si="59">L102/K102</f>
        <v>1.3115614138632041</v>
      </c>
      <c r="M103" s="78">
        <f t="shared" ref="M103" si="60">M102/L102</f>
        <v>1.1691666666666665</v>
      </c>
      <c r="N103" s="78">
        <f t="shared" ref="N103" si="61">N102/M102</f>
        <v>1.0819672131147542</v>
      </c>
      <c r="O103" s="78">
        <f t="shared" ref="O103" si="62">O102/N102</f>
        <v>1.048951048951049</v>
      </c>
      <c r="P103" s="78">
        <f t="shared" ref="P103" si="63">P102/O102</f>
        <v>1.05062893081761</v>
      </c>
      <c r="Q103" s="78">
        <f t="shared" ref="Q103" si="64">Q102/P102</f>
        <v>1.0311284046692606</v>
      </c>
    </row>
    <row r="104" spans="2:18" x14ac:dyDescent="0.2">
      <c r="G104" s="74">
        <f>G102-F102</f>
        <v>0.12391304347826104</v>
      </c>
      <c r="H104" s="74">
        <f t="shared" ref="H104:J104" si="65">H102-G102</f>
        <v>9.303610906411186E-2</v>
      </c>
      <c r="I104" s="74">
        <f t="shared" si="65"/>
        <v>9.019370460048437E-2</v>
      </c>
      <c r="J104" s="74">
        <f t="shared" si="65"/>
        <v>8.0357142857142794E-2</v>
      </c>
      <c r="K104" s="74">
        <f>(K102-J102)/5</f>
        <v>7.4500000000000011E-2</v>
      </c>
      <c r="L104" s="74">
        <f>(L102-K102)/10</f>
        <v>4.8603580562659857E-2</v>
      </c>
      <c r="M104" s="74">
        <f t="shared" ref="M104:Q104" si="66">(M102-L102)/10</f>
        <v>3.4612105711849937E-2</v>
      </c>
      <c r="N104" s="74">
        <f t="shared" si="66"/>
        <v>1.9607843137254923E-2</v>
      </c>
      <c r="O104" s="74">
        <f t="shared" si="66"/>
        <v>1.2669683257918552E-2</v>
      </c>
      <c r="P104" s="74">
        <f t="shared" si="66"/>
        <v>1.3745411081704084E-2</v>
      </c>
      <c r="Q104" s="74">
        <f t="shared" si="66"/>
        <v>8.879023307436151E-3</v>
      </c>
    </row>
    <row r="105" spans="2:18" x14ac:dyDescent="0.2">
      <c r="G105" s="74">
        <f>G102-F102</f>
        <v>0.12391304347826104</v>
      </c>
      <c r="H105" s="74">
        <f t="shared" ref="H105:Q105" si="67">H102-G102</f>
        <v>9.303610906411186E-2</v>
      </c>
      <c r="I105" s="74">
        <f t="shared" si="67"/>
        <v>9.019370460048437E-2</v>
      </c>
      <c r="J105" s="74">
        <f t="shared" si="67"/>
        <v>8.0357142857142794E-2</v>
      </c>
      <c r="K105" s="74">
        <f t="shared" si="67"/>
        <v>0.37250000000000005</v>
      </c>
      <c r="L105" s="74">
        <f t="shared" si="67"/>
        <v>0.48603580562659854</v>
      </c>
      <c r="M105" s="74">
        <f t="shared" si="67"/>
        <v>0.34612105711849939</v>
      </c>
      <c r="N105" s="74">
        <f t="shared" si="67"/>
        <v>0.19607843137254921</v>
      </c>
      <c r="O105" s="74">
        <f t="shared" si="67"/>
        <v>0.12669683257918551</v>
      </c>
      <c r="P105" s="74">
        <f t="shared" si="67"/>
        <v>0.13745411081704084</v>
      </c>
      <c r="Q105" s="74">
        <f t="shared" si="67"/>
        <v>8.8790233074361513E-2</v>
      </c>
    </row>
    <row r="106" spans="2:18" x14ac:dyDescent="0.2">
      <c r="G106" s="58">
        <f t="shared" ref="G106:Q106" si="68">G101-F101</f>
        <v>-8.8852499700219356E-2</v>
      </c>
      <c r="H106" s="58">
        <f t="shared" si="68"/>
        <v>-4.0387499863736132E-2</v>
      </c>
      <c r="I106" s="66">
        <f t="shared" si="68"/>
        <v>-2.0193749931868066E-2</v>
      </c>
      <c r="J106" s="66">
        <f t="shared" si="68"/>
        <v>-1.2116249959120862E-2</v>
      </c>
      <c r="K106" s="66">
        <f t="shared" si="68"/>
        <v>1.6154999945494519E-2</v>
      </c>
      <c r="L106" s="66">
        <f t="shared" si="68"/>
        <v>1.6154999945494408E-2</v>
      </c>
      <c r="M106" s="66">
        <f t="shared" si="68"/>
        <v>1.0769999963662902E-2</v>
      </c>
      <c r="N106" s="66">
        <f t="shared" si="68"/>
        <v>9.423749968205164E-3</v>
      </c>
      <c r="O106" s="66">
        <f t="shared" si="68"/>
        <v>1.2116249959120862E-2</v>
      </c>
      <c r="P106" s="66">
        <f t="shared" si="68"/>
        <v>1.3462499954578599E-2</v>
      </c>
      <c r="Q106" s="66">
        <f t="shared" si="68"/>
        <v>1.192392853119828E-2</v>
      </c>
      <c r="R106" t="s">
        <v>52</v>
      </c>
    </row>
    <row r="109" spans="2:18" x14ac:dyDescent="0.2">
      <c r="E109" s="41"/>
      <c r="F109" s="77">
        <f>(F118/F98)</f>
        <v>1</v>
      </c>
      <c r="G109" s="77">
        <f t="shared" ref="G109:Q109" si="69">(G118/G98)</f>
        <v>0.98086956521739133</v>
      </c>
      <c r="H109" s="77">
        <f t="shared" si="69"/>
        <v>0.9576271186440678</v>
      </c>
      <c r="I109" s="77">
        <f t="shared" si="69"/>
        <v>0.94285714285714284</v>
      </c>
      <c r="J109" s="77">
        <f t="shared" si="69"/>
        <v>0.93125000000000002</v>
      </c>
      <c r="K109" s="77">
        <f t="shared" si="69"/>
        <v>0.92</v>
      </c>
      <c r="L109" s="77">
        <f t="shared" si="69"/>
        <v>0.8899999999999999</v>
      </c>
      <c r="M109" s="77">
        <f t="shared" si="69"/>
        <v>0.89</v>
      </c>
      <c r="N109" s="77">
        <f t="shared" si="69"/>
        <v>0.89069803921568624</v>
      </c>
      <c r="O109" s="77">
        <f t="shared" si="69"/>
        <v>0.89057530704589549</v>
      </c>
      <c r="P109" s="77">
        <f t="shared" si="69"/>
        <v>0.89</v>
      </c>
      <c r="Q109" s="77">
        <f t="shared" si="69"/>
        <v>0.89</v>
      </c>
    </row>
    <row r="110" spans="2:18" ht="15" x14ac:dyDescent="0.2">
      <c r="B110" s="69" t="s">
        <v>36</v>
      </c>
      <c r="E110" s="1" t="s">
        <v>13</v>
      </c>
      <c r="F110" s="1">
        <v>1</v>
      </c>
      <c r="G110" s="1">
        <v>2</v>
      </c>
      <c r="H110" s="1">
        <v>3</v>
      </c>
      <c r="I110" s="1">
        <v>4</v>
      </c>
      <c r="J110" s="1">
        <v>5</v>
      </c>
      <c r="K110" s="1">
        <v>10</v>
      </c>
      <c r="L110" s="1">
        <v>20</v>
      </c>
      <c r="M110" s="1">
        <v>30</v>
      </c>
      <c r="N110" s="1">
        <v>40</v>
      </c>
      <c r="O110" s="1">
        <v>50</v>
      </c>
      <c r="P110" s="1">
        <v>60</v>
      </c>
      <c r="Q110" s="1">
        <v>70</v>
      </c>
    </row>
    <row r="111" spans="2:18" ht="13.5" x14ac:dyDescent="0.2">
      <c r="B111" s="69" t="s">
        <v>46</v>
      </c>
      <c r="E111" s="9" t="s">
        <v>6</v>
      </c>
      <c r="F111" s="42">
        <f t="shared" ref="F111:Q111" si="70">F118/2</f>
        <v>3</v>
      </c>
      <c r="G111" s="42">
        <f t="shared" si="70"/>
        <v>4.5119999999999996</v>
      </c>
      <c r="H111" s="43">
        <f t="shared" si="70"/>
        <v>5.65</v>
      </c>
      <c r="I111" s="42">
        <f t="shared" si="70"/>
        <v>6.6</v>
      </c>
      <c r="J111" s="42">
        <f t="shared" si="70"/>
        <v>7.45</v>
      </c>
      <c r="K111" s="43">
        <f t="shared" si="70"/>
        <v>11.5</v>
      </c>
      <c r="L111" s="42">
        <f t="shared" si="70"/>
        <v>17.3995</v>
      </c>
      <c r="M111" s="42">
        <f t="shared" si="70"/>
        <v>22.695</v>
      </c>
      <c r="N111" s="43">
        <f t="shared" si="70"/>
        <v>28.390999999999998</v>
      </c>
      <c r="O111" s="42">
        <f t="shared" si="70"/>
        <v>34.443000000000005</v>
      </c>
      <c r="P111" s="42">
        <f t="shared" si="70"/>
        <v>40.094499999999996</v>
      </c>
      <c r="Q111" s="43">
        <f t="shared" si="70"/>
        <v>46.146500000000003</v>
      </c>
    </row>
    <row r="112" spans="2:18" ht="13.5" x14ac:dyDescent="0.2">
      <c r="E112" s="9" t="s">
        <v>7</v>
      </c>
      <c r="F112" s="42">
        <f t="shared" ref="F112:Q112" si="71">F119/2</f>
        <v>-2.4</v>
      </c>
      <c r="G112" s="42">
        <f t="shared" si="71"/>
        <v>-4.25</v>
      </c>
      <c r="H112" s="43">
        <f t="shared" si="71"/>
        <v>-6</v>
      </c>
      <c r="I112" s="42">
        <f t="shared" si="71"/>
        <v>-7.75</v>
      </c>
      <c r="J112" s="42">
        <f t="shared" si="71"/>
        <v>-9.5</v>
      </c>
      <c r="K112" s="43">
        <f t="shared" si="71"/>
        <v>-19.5</v>
      </c>
      <c r="L112" s="42">
        <f t="shared" si="71"/>
        <v>-40</v>
      </c>
      <c r="M112" s="42">
        <f t="shared" si="71"/>
        <v>-61</v>
      </c>
      <c r="N112" s="43">
        <f t="shared" si="71"/>
        <v>-82.5</v>
      </c>
      <c r="O112" s="42">
        <f t="shared" si="71"/>
        <v>-105</v>
      </c>
      <c r="P112" s="42">
        <f t="shared" si="71"/>
        <v>-128.5</v>
      </c>
      <c r="Q112" s="43">
        <f t="shared" si="71"/>
        <v>-152.5</v>
      </c>
    </row>
    <row r="114" spans="2:18" ht="13.5" x14ac:dyDescent="0.2">
      <c r="E114" s="9" t="s">
        <v>6</v>
      </c>
      <c r="F114" s="42">
        <v>5.333333333333333</v>
      </c>
      <c r="G114" s="42">
        <v>8.4444444444444446</v>
      </c>
      <c r="H114" s="43">
        <v>12.311111111111112</v>
      </c>
      <c r="I114" s="42">
        <v>16.666666666666668</v>
      </c>
      <c r="J114" s="42">
        <v>20.755555555555553</v>
      </c>
      <c r="K114" s="43">
        <v>33.733333333333327</v>
      </c>
      <c r="L114" s="42">
        <v>49.933333333333323</v>
      </c>
      <c r="M114" s="42">
        <v>64.066666666666663</v>
      </c>
      <c r="N114" s="43">
        <v>78.177777777777777</v>
      </c>
      <c r="O114" s="42">
        <v>93.1111111111111</v>
      </c>
      <c r="P114" s="42">
        <v>107.62222222222221</v>
      </c>
      <c r="Q114" s="43">
        <v>121.80000000000001</v>
      </c>
      <c r="R114" s="18" t="s">
        <v>35</v>
      </c>
    </row>
    <row r="115" spans="2:18" ht="13.5" x14ac:dyDescent="0.2">
      <c r="E115" s="9" t="s">
        <v>7</v>
      </c>
      <c r="F115" s="64">
        <v>-4.333333333333333</v>
      </c>
      <c r="G115" s="64">
        <v>-6.5111111111111111</v>
      </c>
      <c r="H115" s="65">
        <v>-9.4222222222222243</v>
      </c>
      <c r="I115" s="64">
        <v>-12.555555555555557</v>
      </c>
      <c r="J115" s="64">
        <v>-16.444444444444443</v>
      </c>
      <c r="K115" s="65">
        <v>-37.31111111111111</v>
      </c>
      <c r="L115" s="64">
        <v>-78.533333333333346</v>
      </c>
      <c r="M115" s="64">
        <v>-120.37777777777777</v>
      </c>
      <c r="N115" s="65">
        <v>-164.28888888888889</v>
      </c>
      <c r="O115" s="64">
        <v>-211.64444444444445</v>
      </c>
      <c r="P115" s="64">
        <v>-258.53333333333336</v>
      </c>
      <c r="Q115" s="65">
        <v>-306.06666666666666</v>
      </c>
      <c r="R115" s="18" t="s">
        <v>30</v>
      </c>
    </row>
    <row r="116" spans="2:18" ht="15" x14ac:dyDescent="0.2">
      <c r="E116" s="8" t="s">
        <v>9</v>
      </c>
      <c r="F116" s="45">
        <v>0.7</v>
      </c>
      <c r="G116" s="45">
        <v>0.52555555555555555</v>
      </c>
      <c r="H116" s="46">
        <v>0.50555555555555565</v>
      </c>
      <c r="I116" s="45">
        <v>0.51</v>
      </c>
      <c r="J116" s="45">
        <v>0.5311111111111112</v>
      </c>
      <c r="K116" s="46">
        <v>0.60333333333333339</v>
      </c>
      <c r="L116" s="45">
        <v>0.63555555555555565</v>
      </c>
      <c r="M116" s="45">
        <v>0.64777777777777779</v>
      </c>
      <c r="N116" s="46">
        <v>0.6644444444444445</v>
      </c>
      <c r="O116" s="45">
        <v>0.681111111111111</v>
      </c>
      <c r="P116" s="45">
        <v>0.69222222222222229</v>
      </c>
      <c r="Q116" s="46">
        <v>0.70444444444444443</v>
      </c>
      <c r="R116" t="s">
        <v>28</v>
      </c>
    </row>
    <row r="117" spans="2:18" ht="15" x14ac:dyDescent="0.2">
      <c r="E117" s="1" t="s">
        <v>12</v>
      </c>
      <c r="F117" s="1">
        <v>1</v>
      </c>
      <c r="G117" s="1">
        <v>2</v>
      </c>
      <c r="H117" s="1">
        <v>3</v>
      </c>
      <c r="I117" s="1">
        <v>4</v>
      </c>
      <c r="J117" s="1">
        <v>5</v>
      </c>
      <c r="K117" s="1">
        <v>10</v>
      </c>
      <c r="L117" s="1">
        <v>20</v>
      </c>
      <c r="M117" s="1">
        <v>30</v>
      </c>
      <c r="N117" s="1">
        <v>40</v>
      </c>
      <c r="O117" s="1">
        <v>50</v>
      </c>
      <c r="P117" s="1">
        <v>60</v>
      </c>
      <c r="Q117" s="1">
        <v>70</v>
      </c>
      <c r="R117" s="18" t="s">
        <v>58</v>
      </c>
    </row>
    <row r="118" spans="2:18" ht="13.5" x14ac:dyDescent="0.2">
      <c r="B118" s="18" t="s">
        <v>53</v>
      </c>
      <c r="E118" s="9" t="s">
        <v>6</v>
      </c>
      <c r="F118" s="64">
        <v>6</v>
      </c>
      <c r="G118" s="64">
        <f>9.4*0.96</f>
        <v>9.0239999999999991</v>
      </c>
      <c r="H118" s="65">
        <v>11.3</v>
      </c>
      <c r="I118" s="64">
        <v>13.2</v>
      </c>
      <c r="J118" s="64">
        <v>14.9</v>
      </c>
      <c r="K118" s="65">
        <v>23</v>
      </c>
      <c r="L118" s="64">
        <f>39.1*0.89</f>
        <v>34.798999999999999</v>
      </c>
      <c r="M118" s="64">
        <f>51*0.89</f>
        <v>45.39</v>
      </c>
      <c r="N118" s="65">
        <f>63.8*0.89</f>
        <v>56.781999999999996</v>
      </c>
      <c r="O118" s="64">
        <f>77.4*0.89</f>
        <v>68.88600000000001</v>
      </c>
      <c r="P118" s="64">
        <f>90.1*0.89</f>
        <v>80.188999999999993</v>
      </c>
      <c r="Q118" s="65">
        <f>103.7*0.89</f>
        <v>92.293000000000006</v>
      </c>
      <c r="R118" s="75" t="s">
        <v>65</v>
      </c>
    </row>
    <row r="119" spans="2:18" ht="13.5" x14ac:dyDescent="0.2">
      <c r="B119" s="18" t="s">
        <v>54</v>
      </c>
      <c r="E119" s="9" t="s">
        <v>7</v>
      </c>
      <c r="F119" s="64">
        <v>-4.8</v>
      </c>
      <c r="G119" s="64">
        <v>-8.5</v>
      </c>
      <c r="H119" s="65">
        <v>-12</v>
      </c>
      <c r="I119" s="64">
        <v>-15.5</v>
      </c>
      <c r="J119" s="64">
        <v>-19</v>
      </c>
      <c r="K119" s="65">
        <v>-39</v>
      </c>
      <c r="L119" s="64">
        <v>-80</v>
      </c>
      <c r="M119" s="64">
        <v>-122</v>
      </c>
      <c r="N119" s="65">
        <v>-165</v>
      </c>
      <c r="O119" s="64">
        <v>-210</v>
      </c>
      <c r="P119" s="64">
        <v>-257</v>
      </c>
      <c r="Q119" s="65">
        <v>-305</v>
      </c>
      <c r="R119" s="63" t="s">
        <v>29</v>
      </c>
    </row>
    <row r="120" spans="2:18" ht="15" x14ac:dyDescent="0.2">
      <c r="E120" s="11" t="s">
        <v>8</v>
      </c>
      <c r="F120" s="44">
        <f>F119/F117</f>
        <v>-4.8</v>
      </c>
      <c r="G120" s="44">
        <f t="shared" ref="G120" si="72">G119/G117</f>
        <v>-4.25</v>
      </c>
      <c r="H120" s="44">
        <f t="shared" ref="H120" si="73">H119/H117</f>
        <v>-4</v>
      </c>
      <c r="I120" s="44">
        <f t="shared" ref="I120" si="74">I119/I117</f>
        <v>-3.875</v>
      </c>
      <c r="J120" s="44">
        <f t="shared" ref="J120" si="75">J119/J117</f>
        <v>-3.8</v>
      </c>
      <c r="K120" s="44">
        <f t="shared" ref="K120" si="76">K119/K117</f>
        <v>-3.9</v>
      </c>
      <c r="L120" s="44">
        <f t="shared" ref="L120" si="77">L119/L117</f>
        <v>-4</v>
      </c>
      <c r="M120" s="44">
        <f t="shared" ref="M120" si="78">M119/M117</f>
        <v>-4.0666666666666664</v>
      </c>
      <c r="N120" s="44">
        <f t="shared" ref="N120" si="79">N119/N117</f>
        <v>-4.125</v>
      </c>
      <c r="O120" s="44">
        <f t="shared" ref="O120" si="80">O119/O117</f>
        <v>-4.2</v>
      </c>
      <c r="P120" s="44">
        <f t="shared" ref="P120" si="81">P119/P117</f>
        <v>-4.2833333333333332</v>
      </c>
      <c r="Q120" s="44">
        <f t="shared" ref="Q120" si="82">Q119/Q117</f>
        <v>-4.3571428571428568</v>
      </c>
    </row>
    <row r="121" spans="2:18" ht="15" x14ac:dyDescent="0.2">
      <c r="B121" s="18"/>
      <c r="E121" s="8" t="s">
        <v>9</v>
      </c>
      <c r="F121" s="45">
        <f>SQRT(12*32.2*F120^2/(4*$F$11*($F$10*56)*$F$12^2))</f>
        <v>0.77543999738373293</v>
      </c>
      <c r="G121" s="45">
        <f t="shared" ref="G121" si="83">SQRT(12*32.2*G120^2/(4*$F$11*($F$10*56)*$F$12^2))</f>
        <v>0.68658749768351357</v>
      </c>
      <c r="H121" s="46">
        <f t="shared" ref="H121" si="84">SQRT(12*32.2*H120^2/(4*$F$11*($F$10*56)*$F$12^2))</f>
        <v>0.64619999781977744</v>
      </c>
      <c r="I121" s="45">
        <f t="shared" ref="I121" si="85">SQRT(12*32.2*I120^2/(4*$F$11*($F$10*56)*$F$12^2))</f>
        <v>0.62600624788790937</v>
      </c>
      <c r="J121" s="45">
        <f t="shared" ref="J121" si="86">SQRT(12*32.2*J120^2/(4*$F$11*($F$10*56)*$F$12^2))</f>
        <v>0.61388999792878851</v>
      </c>
      <c r="K121" s="46">
        <f t="shared" ref="K121" si="87">SQRT(12*32.2*K120^2/(4*$F$11*($F$10*56)*$F$12^2))</f>
        <v>0.63004499787428303</v>
      </c>
      <c r="L121" s="45">
        <f t="shared" ref="L121" si="88">SQRT(12*32.2*L120^2/(4*$F$11*($F$10*56)*$F$12^2))</f>
        <v>0.64619999781977744</v>
      </c>
      <c r="M121" s="45">
        <f t="shared" ref="M121" si="89">SQRT(12*32.2*M120^2/(4*$F$11*($F$10*56)*$F$12^2))</f>
        <v>0.65696999778344034</v>
      </c>
      <c r="N121" s="46">
        <f t="shared" ref="N121" si="90">SQRT(12*32.2*N120^2/(4*$F$11*($F$10*56)*$F$12^2))</f>
        <v>0.6663937477516455</v>
      </c>
      <c r="O121" s="45">
        <f t="shared" ref="O121" si="91">SQRT(12*32.2*O120^2/(4*$F$11*($F$10*56)*$F$12^2))</f>
        <v>0.67850999771076637</v>
      </c>
      <c r="P121" s="45">
        <f t="shared" ref="P121" si="92">SQRT(12*32.2*P120^2/(4*$F$11*($F$10*56)*$F$12^2))</f>
        <v>0.69197249766534497</v>
      </c>
      <c r="Q121" s="46">
        <f t="shared" ref="Q121" si="93">SQRT(12*32.2*Q120^2/(4*$F$11*($F$10*56)*$F$12^2))</f>
        <v>0.70389642619654325</v>
      </c>
      <c r="R121" s="75" t="s">
        <v>41</v>
      </c>
    </row>
    <row r="122" spans="2:18" ht="15" x14ac:dyDescent="0.2">
      <c r="C122" s="70" t="s">
        <v>49</v>
      </c>
      <c r="E122" s="14" t="s">
        <v>10</v>
      </c>
      <c r="F122" s="47">
        <f>(F119/F118)*-1</f>
        <v>0.79999999999999993</v>
      </c>
      <c r="G122" s="47">
        <f t="shared" ref="G122:Q122" si="94">(G119/G118)*-1</f>
        <v>0.94193262411347523</v>
      </c>
      <c r="H122" s="48">
        <f t="shared" si="94"/>
        <v>1.0619469026548671</v>
      </c>
      <c r="I122" s="47">
        <f t="shared" si="94"/>
        <v>1.1742424242424243</v>
      </c>
      <c r="J122" s="47">
        <f t="shared" si="94"/>
        <v>1.2751677852348993</v>
      </c>
      <c r="K122" s="48">
        <f t="shared" si="94"/>
        <v>1.6956521739130435</v>
      </c>
      <c r="L122" s="47">
        <f t="shared" si="94"/>
        <v>2.298916635535504</v>
      </c>
      <c r="M122" s="47">
        <f t="shared" si="94"/>
        <v>2.687816699713593</v>
      </c>
      <c r="N122" s="48">
        <f t="shared" si="94"/>
        <v>2.9058504455637353</v>
      </c>
      <c r="O122" s="47">
        <f t="shared" si="94"/>
        <v>3.0485149377231946</v>
      </c>
      <c r="P122" s="47">
        <f t="shared" si="94"/>
        <v>3.2049283567571614</v>
      </c>
      <c r="Q122" s="48">
        <f t="shared" si="94"/>
        <v>3.3046926635822866</v>
      </c>
      <c r="R122" s="39"/>
    </row>
    <row r="123" spans="2:18" x14ac:dyDescent="0.2">
      <c r="G123" s="78">
        <f>G122/F122</f>
        <v>1.1774157801418441</v>
      </c>
      <c r="H123" s="78">
        <f t="shared" ref="H123" si="95">H122/G122</f>
        <v>1.1274128058302966</v>
      </c>
      <c r="I123" s="78">
        <f t="shared" ref="I123" si="96">I122/H122</f>
        <v>1.1057449494949496</v>
      </c>
      <c r="J123" s="78">
        <f>J122/I122</f>
        <v>1.0859493396839142</v>
      </c>
      <c r="K123" s="78">
        <f t="shared" ref="K123" si="97">K122/J122</f>
        <v>1.3297482837528605</v>
      </c>
      <c r="L123" s="78">
        <f t="shared" ref="L123" si="98">L122/K122</f>
        <v>1.3557713491619638</v>
      </c>
      <c r="M123" s="78">
        <f t="shared" ref="M123" si="99">M122/L122</f>
        <v>1.1691666666666665</v>
      </c>
      <c r="N123" s="78">
        <f t="shared" ref="N123" si="100">N122/M122</f>
        <v>1.0811192764273603</v>
      </c>
      <c r="O123" s="78">
        <f t="shared" ref="O123" si="101">O122/N122</f>
        <v>1.0490956072351418</v>
      </c>
      <c r="P123" s="78">
        <f t="shared" ref="P123" si="102">P122/O122</f>
        <v>1.0513080703979707</v>
      </c>
      <c r="Q123" s="78">
        <f t="shared" ref="Q123" si="103">Q122/P122</f>
        <v>1.0311284046692606</v>
      </c>
    </row>
    <row r="124" spans="2:18" x14ac:dyDescent="0.2">
      <c r="G124" s="74">
        <f>G122-F122</f>
        <v>0.14193262411347529</v>
      </c>
      <c r="H124" s="74">
        <f t="shared" ref="H124:J124" si="104">H122-G122</f>
        <v>0.12001427854139191</v>
      </c>
      <c r="I124" s="74">
        <f t="shared" si="104"/>
        <v>0.11229552158755718</v>
      </c>
      <c r="J124" s="74">
        <f t="shared" si="104"/>
        <v>0.10092536099247496</v>
      </c>
      <c r="K124" s="74">
        <f>(K122-J122)/5</f>
        <v>8.4096877735628836E-2</v>
      </c>
      <c r="L124" s="74">
        <f>(L122-K122)/10</f>
        <v>6.0326446162246049E-2</v>
      </c>
      <c r="M124" s="74">
        <f t="shared" ref="M124:Q124" si="105">(M122-L122)/10</f>
        <v>3.889000641780891E-2</v>
      </c>
      <c r="N124" s="74">
        <f t="shared" si="105"/>
        <v>2.1803374585014225E-2</v>
      </c>
      <c r="O124" s="74">
        <f t="shared" si="105"/>
        <v>1.4266449215945932E-2</v>
      </c>
      <c r="P124" s="74">
        <f t="shared" si="105"/>
        <v>1.5641341903396676E-2</v>
      </c>
      <c r="Q124" s="74">
        <f t="shared" si="105"/>
        <v>9.9764306825125271E-3</v>
      </c>
    </row>
    <row r="125" spans="2:18" x14ac:dyDescent="0.2">
      <c r="G125" s="74">
        <f>G122-F122</f>
        <v>0.14193262411347529</v>
      </c>
      <c r="H125" s="74">
        <f t="shared" ref="H125:Q125" si="106">H122-G122</f>
        <v>0.12001427854139191</v>
      </c>
      <c r="I125" s="74">
        <f t="shared" si="106"/>
        <v>0.11229552158755718</v>
      </c>
      <c r="J125" s="74">
        <f t="shared" si="106"/>
        <v>0.10092536099247496</v>
      </c>
      <c r="K125" s="74">
        <f t="shared" si="106"/>
        <v>0.42048438867814419</v>
      </c>
      <c r="L125" s="74">
        <f t="shared" si="106"/>
        <v>0.6032644616224605</v>
      </c>
      <c r="M125" s="74">
        <f t="shared" si="106"/>
        <v>0.38890006417808909</v>
      </c>
      <c r="N125" s="74">
        <f t="shared" si="106"/>
        <v>0.21803374585014224</v>
      </c>
      <c r="O125" s="74">
        <f t="shared" si="106"/>
        <v>0.14266449215945931</v>
      </c>
      <c r="P125" s="74">
        <f t="shared" si="106"/>
        <v>0.15641341903396677</v>
      </c>
      <c r="Q125" s="74">
        <f t="shared" si="106"/>
        <v>9.9764306825125271E-2</v>
      </c>
    </row>
    <row r="126" spans="2:18" x14ac:dyDescent="0.2">
      <c r="G126" s="58">
        <f t="shared" ref="G126:Q126" si="107">G121-F121</f>
        <v>-8.8852499700219356E-2</v>
      </c>
      <c r="H126" s="58">
        <f t="shared" si="107"/>
        <v>-4.0387499863736132E-2</v>
      </c>
      <c r="I126" s="66">
        <f t="shared" si="107"/>
        <v>-2.0193749931868066E-2</v>
      </c>
      <c r="J126" s="66">
        <f t="shared" si="107"/>
        <v>-1.2116249959120862E-2</v>
      </c>
      <c r="K126" s="66">
        <f t="shared" si="107"/>
        <v>1.6154999945494519E-2</v>
      </c>
      <c r="L126" s="66">
        <f t="shared" si="107"/>
        <v>1.6154999945494408E-2</v>
      </c>
      <c r="M126" s="66">
        <f t="shared" si="107"/>
        <v>1.0769999963662902E-2</v>
      </c>
      <c r="N126" s="66">
        <f t="shared" si="107"/>
        <v>9.423749968205164E-3</v>
      </c>
      <c r="O126" s="66">
        <f t="shared" si="107"/>
        <v>1.2116249959120862E-2</v>
      </c>
      <c r="P126" s="66">
        <f t="shared" si="107"/>
        <v>1.3462499954578599E-2</v>
      </c>
      <c r="Q126" s="66">
        <f t="shared" si="107"/>
        <v>1.192392853119828E-2</v>
      </c>
      <c r="R126" t="s">
        <v>52</v>
      </c>
    </row>
    <row r="130" spans="1:19" ht="13.5" thickBot="1" x14ac:dyDescent="0.25">
      <c r="A130" s="84"/>
      <c r="B130" s="84"/>
      <c r="C130" s="84"/>
      <c r="D130" s="84"/>
      <c r="E130" s="84"/>
      <c r="F130" s="84"/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</row>
    <row r="132" spans="1:19" x14ac:dyDescent="0.2">
      <c r="B132" t="s">
        <v>59</v>
      </c>
    </row>
    <row r="133" spans="1:19" x14ac:dyDescent="0.2">
      <c r="B133" t="s">
        <v>60</v>
      </c>
    </row>
    <row r="136" spans="1:19" ht="15" x14ac:dyDescent="0.2">
      <c r="E136" s="1" t="s">
        <v>13</v>
      </c>
      <c r="F136" s="1">
        <v>1</v>
      </c>
      <c r="G136" s="1">
        <v>2</v>
      </c>
      <c r="H136" s="1">
        <v>3</v>
      </c>
      <c r="I136" s="1">
        <v>4</v>
      </c>
      <c r="J136" s="1">
        <v>5</v>
      </c>
      <c r="K136" s="1">
        <v>10</v>
      </c>
      <c r="L136" s="1">
        <v>20</v>
      </c>
      <c r="M136" s="1">
        <v>30</v>
      </c>
      <c r="N136" s="1">
        <v>40</v>
      </c>
      <c r="O136" s="1">
        <v>50</v>
      </c>
      <c r="P136" s="1">
        <v>60</v>
      </c>
      <c r="Q136" s="1">
        <v>70</v>
      </c>
    </row>
    <row r="137" spans="1:19" ht="13.5" x14ac:dyDescent="0.2">
      <c r="E137" s="9" t="s">
        <v>6</v>
      </c>
      <c r="F137" s="42">
        <v>3</v>
      </c>
      <c r="G137" s="42">
        <v>4.0999999999999996</v>
      </c>
      <c r="H137" s="43">
        <v>5.0999999999999996</v>
      </c>
      <c r="I137" s="42">
        <v>5.9</v>
      </c>
      <c r="J137" s="42">
        <v>6.6</v>
      </c>
      <c r="K137" s="43">
        <v>10</v>
      </c>
      <c r="L137" s="42">
        <v>15</v>
      </c>
      <c r="M137" s="42">
        <v>20</v>
      </c>
      <c r="N137" s="43">
        <v>25</v>
      </c>
      <c r="O137" s="42">
        <v>30.1</v>
      </c>
      <c r="P137" s="42">
        <v>35.200000000000003</v>
      </c>
      <c r="Q137" s="43">
        <v>40.4</v>
      </c>
    </row>
    <row r="138" spans="1:19" ht="13.5" x14ac:dyDescent="0.2">
      <c r="E138" s="9" t="s">
        <v>7</v>
      </c>
      <c r="F138" s="42">
        <v>-2.4</v>
      </c>
      <c r="G138" s="42">
        <v>-4.25</v>
      </c>
      <c r="H138" s="43">
        <v>-6</v>
      </c>
      <c r="I138" s="42">
        <v>-7.75</v>
      </c>
      <c r="J138" s="42">
        <v>-9.5</v>
      </c>
      <c r="K138" s="43">
        <v>-19.5</v>
      </c>
      <c r="L138" s="42">
        <v>-40</v>
      </c>
      <c r="M138" s="42">
        <v>-61</v>
      </c>
      <c r="N138" s="43">
        <v>-82.5</v>
      </c>
      <c r="O138" s="42">
        <v>-105</v>
      </c>
      <c r="P138" s="42">
        <v>-128.5</v>
      </c>
      <c r="Q138" s="43">
        <v>-152.5</v>
      </c>
    </row>
    <row r="139" spans="1:19" ht="13.5" x14ac:dyDescent="0.2">
      <c r="E139" s="49"/>
      <c r="F139" s="52"/>
      <c r="G139" s="52"/>
      <c r="H139" s="52"/>
      <c r="I139" s="52"/>
      <c r="J139" s="52"/>
      <c r="K139" s="52"/>
      <c r="L139" s="52"/>
      <c r="M139" s="52"/>
      <c r="N139" s="52"/>
      <c r="P139" s="52"/>
      <c r="Q139" s="52"/>
    </row>
    <row r="140" spans="1:19" ht="15" x14ac:dyDescent="0.2">
      <c r="E140" s="1" t="s">
        <v>12</v>
      </c>
      <c r="F140" s="1">
        <v>1</v>
      </c>
      <c r="G140" s="1">
        <v>2</v>
      </c>
      <c r="H140" s="1">
        <v>3</v>
      </c>
      <c r="I140" s="1">
        <v>4</v>
      </c>
      <c r="J140" s="1">
        <v>5</v>
      </c>
      <c r="K140" s="1">
        <v>10</v>
      </c>
      <c r="L140" s="1">
        <v>20</v>
      </c>
      <c r="M140" s="1">
        <v>30</v>
      </c>
      <c r="N140" s="1">
        <v>40</v>
      </c>
      <c r="O140" s="1">
        <v>50</v>
      </c>
      <c r="P140" s="1">
        <v>60</v>
      </c>
      <c r="Q140" s="1">
        <v>70</v>
      </c>
    </row>
    <row r="141" spans="1:19" ht="13.5" x14ac:dyDescent="0.2">
      <c r="E141" s="9" t="s">
        <v>6</v>
      </c>
      <c r="F141" s="64">
        <v>6</v>
      </c>
      <c r="G141" s="64">
        <v>8.1999999999999993</v>
      </c>
      <c r="H141" s="65">
        <v>10.199999999999999</v>
      </c>
      <c r="I141" s="64">
        <v>11.8</v>
      </c>
      <c r="J141" s="64">
        <v>13.2</v>
      </c>
      <c r="K141" s="65">
        <v>20</v>
      </c>
      <c r="L141" s="64">
        <v>30</v>
      </c>
      <c r="M141" s="64">
        <v>40</v>
      </c>
      <c r="N141" s="65">
        <v>50</v>
      </c>
      <c r="O141" s="64">
        <v>60.2</v>
      </c>
      <c r="P141" s="64">
        <v>70.400000000000006</v>
      </c>
      <c r="Q141" s="65">
        <v>80.8</v>
      </c>
      <c r="R141" t="s">
        <v>56</v>
      </c>
    </row>
    <row r="142" spans="1:19" ht="13.5" x14ac:dyDescent="0.2">
      <c r="E142" s="9" t="s">
        <v>7</v>
      </c>
      <c r="F142" s="72">
        <v>-4.8</v>
      </c>
      <c r="G142" s="72">
        <v>-8.5</v>
      </c>
      <c r="H142" s="73">
        <v>-12</v>
      </c>
      <c r="I142" s="72">
        <v>-15.5</v>
      </c>
      <c r="J142" s="72">
        <v>-19</v>
      </c>
      <c r="K142" s="73">
        <v>-39</v>
      </c>
      <c r="L142" s="72">
        <v>-80</v>
      </c>
      <c r="M142" s="72">
        <v>-122</v>
      </c>
      <c r="N142" s="73">
        <v>-165</v>
      </c>
      <c r="O142" s="72">
        <v>-210</v>
      </c>
      <c r="P142" s="72">
        <v>-257</v>
      </c>
      <c r="Q142" s="73">
        <v>-305</v>
      </c>
    </row>
    <row r="143" spans="1:19" ht="15" x14ac:dyDescent="0.2">
      <c r="E143" s="11" t="s">
        <v>8</v>
      </c>
      <c r="F143" s="44">
        <v>-4.8</v>
      </c>
      <c r="G143" s="44">
        <v>-4.25</v>
      </c>
      <c r="H143" s="44">
        <v>-4</v>
      </c>
      <c r="I143" s="44">
        <v>-3.875</v>
      </c>
      <c r="J143" s="44">
        <v>-3.8</v>
      </c>
      <c r="K143" s="44">
        <v>-3.9</v>
      </c>
      <c r="L143" s="44">
        <v>-4</v>
      </c>
      <c r="M143" s="44">
        <v>-4.0666666666666664</v>
      </c>
      <c r="N143" s="44">
        <v>-4.125</v>
      </c>
      <c r="O143" s="44">
        <v>-4.2</v>
      </c>
      <c r="P143" s="44">
        <v>-4.2833333333333332</v>
      </c>
      <c r="Q143" s="44">
        <v>-4.3571428571428568</v>
      </c>
    </row>
    <row r="144" spans="1:19" ht="15" x14ac:dyDescent="0.2">
      <c r="E144" s="8" t="s">
        <v>9</v>
      </c>
      <c r="F144" s="45">
        <v>0.77543999738373293</v>
      </c>
      <c r="G144" s="45">
        <v>0.68658749768351357</v>
      </c>
      <c r="H144" s="46">
        <v>0.64619999781977744</v>
      </c>
      <c r="I144" s="45">
        <v>0.62600624788790937</v>
      </c>
      <c r="J144" s="45">
        <v>0.61388999792878851</v>
      </c>
      <c r="K144" s="46">
        <v>0.63004499787428303</v>
      </c>
      <c r="L144" s="45">
        <v>0.64619999781977744</v>
      </c>
      <c r="M144" s="45">
        <v>0.65696999778344034</v>
      </c>
      <c r="N144" s="46">
        <v>0.6663937477516455</v>
      </c>
      <c r="O144" s="45">
        <v>0.67850999771076637</v>
      </c>
      <c r="P144" s="45">
        <v>0.69197249766534497</v>
      </c>
      <c r="Q144" s="46">
        <v>0.70389642619654325</v>
      </c>
    </row>
    <row r="145" spans="5:18" ht="15" x14ac:dyDescent="0.2">
      <c r="E145" s="14" t="s">
        <v>10</v>
      </c>
      <c r="F145" s="47">
        <v>0.79999999999999993</v>
      </c>
      <c r="G145" s="47">
        <v>1.0365853658536586</v>
      </c>
      <c r="H145" s="48">
        <v>1.1764705882352942</v>
      </c>
      <c r="I145" s="47">
        <v>1.3135593220338981</v>
      </c>
      <c r="J145" s="47">
        <v>1.4393939393939394</v>
      </c>
      <c r="K145" s="48">
        <v>1.95</v>
      </c>
      <c r="L145" s="47">
        <v>2.6666666666666665</v>
      </c>
      <c r="M145" s="47">
        <v>3.05</v>
      </c>
      <c r="N145" s="48">
        <v>3.3</v>
      </c>
      <c r="O145" s="47">
        <v>3.4883720930232558</v>
      </c>
      <c r="P145" s="47">
        <v>3.6505681818181817</v>
      </c>
      <c r="Q145" s="48">
        <v>3.7747524752475248</v>
      </c>
    </row>
    <row r="149" spans="5:18" ht="15" x14ac:dyDescent="0.2">
      <c r="E149" s="1" t="s">
        <v>13</v>
      </c>
      <c r="F149" s="1">
        <v>1</v>
      </c>
      <c r="G149" s="1">
        <v>2</v>
      </c>
      <c r="H149" s="1">
        <v>3</v>
      </c>
      <c r="I149" s="1">
        <v>4</v>
      </c>
      <c r="J149" s="1">
        <v>5</v>
      </c>
      <c r="K149" s="1">
        <v>10</v>
      </c>
      <c r="L149" s="1">
        <v>20</v>
      </c>
      <c r="M149" s="1">
        <v>30</v>
      </c>
      <c r="N149" s="1">
        <v>40</v>
      </c>
      <c r="O149" s="1">
        <v>50</v>
      </c>
      <c r="P149" s="1">
        <v>60</v>
      </c>
      <c r="Q149" s="1">
        <v>70</v>
      </c>
    </row>
    <row r="150" spans="5:18" ht="13.5" x14ac:dyDescent="0.2">
      <c r="E150" s="9" t="s">
        <v>6</v>
      </c>
      <c r="F150" s="42">
        <v>3</v>
      </c>
      <c r="G150" s="42">
        <v>4.5119999999999996</v>
      </c>
      <c r="H150" s="43">
        <v>5.65</v>
      </c>
      <c r="I150" s="42">
        <v>6.6</v>
      </c>
      <c r="J150" s="42">
        <v>7.45</v>
      </c>
      <c r="K150" s="43">
        <v>11.5</v>
      </c>
      <c r="L150" s="42">
        <v>17.3995</v>
      </c>
      <c r="M150" s="42">
        <v>22.695</v>
      </c>
      <c r="N150" s="43">
        <v>28.390999999999998</v>
      </c>
      <c r="O150" s="42">
        <v>34.443000000000005</v>
      </c>
      <c r="P150" s="42">
        <v>40.094499999999996</v>
      </c>
      <c r="Q150" s="43">
        <v>46.146500000000003</v>
      </c>
    </row>
    <row r="151" spans="5:18" ht="13.5" x14ac:dyDescent="0.2">
      <c r="E151" s="9" t="s">
        <v>7</v>
      </c>
      <c r="F151" s="42">
        <v>-2.4</v>
      </c>
      <c r="G151" s="42">
        <v>-4.25</v>
      </c>
      <c r="H151" s="43">
        <v>-6</v>
      </c>
      <c r="I151" s="42">
        <v>-7.75</v>
      </c>
      <c r="J151" s="42">
        <v>-9.5</v>
      </c>
      <c r="K151" s="43">
        <v>-19.5</v>
      </c>
      <c r="L151" s="42">
        <v>-40</v>
      </c>
      <c r="M151" s="42">
        <v>-61</v>
      </c>
      <c r="N151" s="43">
        <v>-82.5</v>
      </c>
      <c r="O151" s="42">
        <v>-105</v>
      </c>
      <c r="P151" s="42">
        <v>-128.5</v>
      </c>
      <c r="Q151" s="43">
        <v>-152.5</v>
      </c>
    </row>
    <row r="153" spans="5:18" ht="15" x14ac:dyDescent="0.2">
      <c r="E153" s="1" t="s">
        <v>12</v>
      </c>
      <c r="F153" s="1">
        <v>1</v>
      </c>
      <c r="G153" s="1">
        <v>2</v>
      </c>
      <c r="H153" s="1">
        <v>3</v>
      </c>
      <c r="I153" s="1">
        <v>4</v>
      </c>
      <c r="J153" s="1">
        <v>5</v>
      </c>
      <c r="K153" s="1">
        <v>10</v>
      </c>
      <c r="L153" s="1">
        <v>20</v>
      </c>
      <c r="M153" s="1">
        <v>30</v>
      </c>
      <c r="N153" s="1">
        <v>40</v>
      </c>
      <c r="O153" s="1">
        <v>50</v>
      </c>
      <c r="P153" s="1">
        <v>60</v>
      </c>
      <c r="Q153" s="1">
        <v>70</v>
      </c>
    </row>
    <row r="154" spans="5:18" ht="13.5" x14ac:dyDescent="0.2">
      <c r="E154" s="9" t="s">
        <v>6</v>
      </c>
      <c r="F154" s="64">
        <v>6</v>
      </c>
      <c r="G154" s="64">
        <v>9.0239999999999991</v>
      </c>
      <c r="H154" s="65">
        <v>11.3</v>
      </c>
      <c r="I154" s="64">
        <v>13.2</v>
      </c>
      <c r="J154" s="64">
        <v>14.9</v>
      </c>
      <c r="K154" s="65">
        <v>23</v>
      </c>
      <c r="L154" s="64">
        <v>34.798999999999999</v>
      </c>
      <c r="M154" s="64">
        <v>45.39</v>
      </c>
      <c r="N154" s="65">
        <v>56.781999999999996</v>
      </c>
      <c r="O154" s="64">
        <v>68.88600000000001</v>
      </c>
      <c r="P154" s="64">
        <v>80.188999999999993</v>
      </c>
      <c r="Q154" s="65">
        <v>92.293000000000006</v>
      </c>
      <c r="R154" t="s">
        <v>58</v>
      </c>
    </row>
    <row r="155" spans="5:18" ht="13.5" x14ac:dyDescent="0.2">
      <c r="E155" s="9" t="s">
        <v>7</v>
      </c>
      <c r="F155" s="64">
        <v>-4.8</v>
      </c>
      <c r="G155" s="64">
        <v>-8.5</v>
      </c>
      <c r="H155" s="65">
        <v>-12</v>
      </c>
      <c r="I155" s="64">
        <v>-15.5</v>
      </c>
      <c r="J155" s="64">
        <v>-19</v>
      </c>
      <c r="K155" s="65">
        <v>-39</v>
      </c>
      <c r="L155" s="64">
        <v>-80</v>
      </c>
      <c r="M155" s="64">
        <v>-122</v>
      </c>
      <c r="N155" s="65">
        <v>-165</v>
      </c>
      <c r="O155" s="64">
        <v>-210</v>
      </c>
      <c r="P155" s="64">
        <v>-257</v>
      </c>
      <c r="Q155" s="65">
        <v>-305</v>
      </c>
    </row>
    <row r="156" spans="5:18" ht="15" x14ac:dyDescent="0.2">
      <c r="E156" s="11" t="s">
        <v>8</v>
      </c>
      <c r="F156" s="44">
        <v>-4.8</v>
      </c>
      <c r="G156" s="44">
        <v>-4.25</v>
      </c>
      <c r="H156" s="44">
        <v>-4</v>
      </c>
      <c r="I156" s="44">
        <v>-3.875</v>
      </c>
      <c r="J156" s="44">
        <v>-3.8</v>
      </c>
      <c r="K156" s="44">
        <v>-3.9</v>
      </c>
      <c r="L156" s="44">
        <v>-4</v>
      </c>
      <c r="M156" s="44">
        <v>-4.0666666666666664</v>
      </c>
      <c r="N156" s="44">
        <v>-4.125</v>
      </c>
      <c r="O156" s="44">
        <v>-4.2</v>
      </c>
      <c r="P156" s="44">
        <v>-4.2833333333333332</v>
      </c>
      <c r="Q156" s="44">
        <v>-4.3571428571428568</v>
      </c>
    </row>
    <row r="157" spans="5:18" ht="15" x14ac:dyDescent="0.2">
      <c r="E157" s="8" t="s">
        <v>9</v>
      </c>
      <c r="F157" s="45">
        <v>0.77543999738373293</v>
      </c>
      <c r="G157" s="45">
        <v>0.68658749768351357</v>
      </c>
      <c r="H157" s="46">
        <v>0.64619999781977744</v>
      </c>
      <c r="I157" s="45">
        <v>0.62600624788790937</v>
      </c>
      <c r="J157" s="45">
        <v>0.61388999792878851</v>
      </c>
      <c r="K157" s="46">
        <v>0.63004499787428303</v>
      </c>
      <c r="L157" s="45">
        <v>0.64619999781977744</v>
      </c>
      <c r="M157" s="45">
        <v>0.65696999778344034</v>
      </c>
      <c r="N157" s="46">
        <v>0.6663937477516455</v>
      </c>
      <c r="O157" s="45">
        <v>0.67850999771076637</v>
      </c>
      <c r="P157" s="45">
        <v>0.69197249766534497</v>
      </c>
      <c r="Q157" s="46">
        <v>0.70389642619654325</v>
      </c>
    </row>
    <row r="158" spans="5:18" ht="15" x14ac:dyDescent="0.2">
      <c r="E158" s="14" t="s">
        <v>10</v>
      </c>
      <c r="F158" s="47">
        <v>0.79999999999999993</v>
      </c>
      <c r="G158" s="47">
        <v>0.94193262411347523</v>
      </c>
      <c r="H158" s="48">
        <v>1.0619469026548671</v>
      </c>
      <c r="I158" s="47">
        <v>1.1742424242424243</v>
      </c>
      <c r="J158" s="47">
        <v>1.2751677852348993</v>
      </c>
      <c r="K158" s="48">
        <v>1.6956521739130435</v>
      </c>
      <c r="L158" s="47">
        <v>2.298916635535504</v>
      </c>
      <c r="M158" s="47">
        <v>2.687816699713593</v>
      </c>
      <c r="N158" s="48">
        <v>2.9058504455637353</v>
      </c>
      <c r="O158" s="47">
        <v>3.0485149377231946</v>
      </c>
      <c r="P158" s="47">
        <v>3.2049283567571614</v>
      </c>
      <c r="Q158" s="48">
        <v>3.3046926635822866</v>
      </c>
    </row>
    <row r="162" spans="5:18" ht="15" x14ac:dyDescent="0.2">
      <c r="E162" s="1" t="s">
        <v>13</v>
      </c>
      <c r="F162" s="1">
        <v>1</v>
      </c>
      <c r="G162" s="1">
        <v>2</v>
      </c>
      <c r="H162" s="1">
        <v>3</v>
      </c>
      <c r="I162" s="1">
        <v>4</v>
      </c>
      <c r="J162" s="1">
        <v>5</v>
      </c>
      <c r="K162" s="1">
        <v>10</v>
      </c>
      <c r="L162" s="1">
        <v>20</v>
      </c>
      <c r="M162" s="1">
        <v>30</v>
      </c>
      <c r="N162" s="1">
        <v>40</v>
      </c>
      <c r="O162" s="1">
        <v>50</v>
      </c>
      <c r="P162" s="1">
        <v>60</v>
      </c>
      <c r="Q162" s="1">
        <v>70</v>
      </c>
    </row>
    <row r="163" spans="5:18" ht="13.5" x14ac:dyDescent="0.2">
      <c r="E163" s="9" t="s">
        <v>6</v>
      </c>
      <c r="F163" s="42">
        <v>3</v>
      </c>
      <c r="G163" s="42">
        <v>4.5999999999999996</v>
      </c>
      <c r="H163" s="43">
        <v>5.9</v>
      </c>
      <c r="I163" s="42">
        <v>7</v>
      </c>
      <c r="J163" s="42">
        <v>8</v>
      </c>
      <c r="K163" s="43">
        <v>12.5</v>
      </c>
      <c r="L163" s="42">
        <v>19.55</v>
      </c>
      <c r="M163" s="42">
        <v>25.5</v>
      </c>
      <c r="N163" s="43">
        <v>31.875</v>
      </c>
      <c r="O163" s="42">
        <v>38.674999999999997</v>
      </c>
      <c r="P163" s="42">
        <v>45.05</v>
      </c>
      <c r="Q163" s="43">
        <v>51.85</v>
      </c>
    </row>
    <row r="164" spans="5:18" ht="13.5" x14ac:dyDescent="0.2">
      <c r="E164" s="9" t="s">
        <v>7</v>
      </c>
      <c r="F164" s="42">
        <v>-2.4</v>
      </c>
      <c r="G164" s="42">
        <v>-4.25</v>
      </c>
      <c r="H164" s="43">
        <v>-6</v>
      </c>
      <c r="I164" s="42">
        <v>-7.75</v>
      </c>
      <c r="J164" s="42">
        <v>-9.5</v>
      </c>
      <c r="K164" s="43">
        <v>-19.5</v>
      </c>
      <c r="L164" s="42">
        <v>-40</v>
      </c>
      <c r="M164" s="42">
        <v>-61</v>
      </c>
      <c r="N164" s="43">
        <v>-82.5</v>
      </c>
      <c r="O164" s="42">
        <v>-105</v>
      </c>
      <c r="P164" s="42">
        <v>-128.5</v>
      </c>
      <c r="Q164" s="43">
        <v>-152.5</v>
      </c>
    </row>
    <row r="166" spans="5:18" ht="15" x14ac:dyDescent="0.2">
      <c r="E166" s="1" t="s">
        <v>12</v>
      </c>
      <c r="F166" s="1">
        <v>1</v>
      </c>
      <c r="G166" s="1">
        <v>2</v>
      </c>
      <c r="H166" s="1">
        <v>3</v>
      </c>
      <c r="I166" s="1">
        <v>4</v>
      </c>
      <c r="J166" s="1">
        <v>5</v>
      </c>
      <c r="K166" s="1">
        <v>10</v>
      </c>
      <c r="L166" s="1">
        <v>20</v>
      </c>
      <c r="M166" s="1">
        <v>30</v>
      </c>
      <c r="N166" s="1">
        <v>40</v>
      </c>
      <c r="O166" s="1">
        <v>50</v>
      </c>
      <c r="P166" s="1">
        <v>60</v>
      </c>
      <c r="Q166" s="1">
        <v>70</v>
      </c>
    </row>
    <row r="167" spans="5:18" ht="13.5" x14ac:dyDescent="0.2">
      <c r="E167" s="9" t="s">
        <v>6</v>
      </c>
      <c r="F167" s="64">
        <v>6</v>
      </c>
      <c r="G167" s="64">
        <v>9.1999999999999993</v>
      </c>
      <c r="H167" s="65">
        <v>11.8</v>
      </c>
      <c r="I167" s="64">
        <v>14</v>
      </c>
      <c r="J167" s="64">
        <v>16</v>
      </c>
      <c r="K167" s="65">
        <v>25</v>
      </c>
      <c r="L167" s="64">
        <v>39.1</v>
      </c>
      <c r="M167" s="64">
        <v>51</v>
      </c>
      <c r="N167" s="65">
        <v>63.75</v>
      </c>
      <c r="O167" s="64">
        <v>77.349999999999994</v>
      </c>
      <c r="P167" s="64">
        <v>90.1</v>
      </c>
      <c r="Q167" s="65">
        <v>103.7</v>
      </c>
      <c r="R167" t="s">
        <v>57</v>
      </c>
    </row>
    <row r="168" spans="5:18" ht="13.5" x14ac:dyDescent="0.2">
      <c r="E168" s="9" t="s">
        <v>7</v>
      </c>
      <c r="F168" s="64">
        <v>-4.8</v>
      </c>
      <c r="G168" s="64">
        <v>-8.5</v>
      </c>
      <c r="H168" s="65">
        <v>-12</v>
      </c>
      <c r="I168" s="64">
        <v>-15.5</v>
      </c>
      <c r="J168" s="64">
        <v>-19</v>
      </c>
      <c r="K168" s="65">
        <v>-39</v>
      </c>
      <c r="L168" s="64">
        <v>-80</v>
      </c>
      <c r="M168" s="64">
        <v>-122</v>
      </c>
      <c r="N168" s="65">
        <v>-165</v>
      </c>
      <c r="O168" s="64">
        <v>-210</v>
      </c>
      <c r="P168" s="64">
        <v>-257</v>
      </c>
      <c r="Q168" s="65">
        <v>-305</v>
      </c>
    </row>
    <row r="169" spans="5:18" ht="15" x14ac:dyDescent="0.2">
      <c r="E169" s="11" t="s">
        <v>8</v>
      </c>
      <c r="F169" s="44">
        <v>-4.8</v>
      </c>
      <c r="G169" s="44">
        <v>-4.25</v>
      </c>
      <c r="H169" s="44">
        <v>-4</v>
      </c>
      <c r="I169" s="44">
        <v>-3.875</v>
      </c>
      <c r="J169" s="44">
        <v>-3.8</v>
      </c>
      <c r="K169" s="44">
        <v>-3.9</v>
      </c>
      <c r="L169" s="44">
        <v>-4</v>
      </c>
      <c r="M169" s="44">
        <v>-4.0666666666666664</v>
      </c>
      <c r="N169" s="44">
        <v>-4.125</v>
      </c>
      <c r="O169" s="44">
        <v>-4.2</v>
      </c>
      <c r="P169" s="44">
        <v>-4.2833333333333332</v>
      </c>
      <c r="Q169" s="44">
        <v>-4.3571428571428568</v>
      </c>
    </row>
    <row r="170" spans="5:18" ht="15" x14ac:dyDescent="0.2">
      <c r="E170" s="8" t="s">
        <v>9</v>
      </c>
      <c r="F170" s="45">
        <v>0.77543999738373293</v>
      </c>
      <c r="G170" s="45">
        <v>0.68658749768351357</v>
      </c>
      <c r="H170" s="46">
        <v>0.64619999781977744</v>
      </c>
      <c r="I170" s="45">
        <v>0.62600624788790937</v>
      </c>
      <c r="J170" s="45">
        <v>0.61388999792878851</v>
      </c>
      <c r="K170" s="46">
        <v>0.63004499787428303</v>
      </c>
      <c r="L170" s="45">
        <v>0.64619999781977744</v>
      </c>
      <c r="M170" s="45">
        <v>0.65696999778344034</v>
      </c>
      <c r="N170" s="46">
        <v>0.6663937477516455</v>
      </c>
      <c r="O170" s="45">
        <v>0.67850999771076637</v>
      </c>
      <c r="P170" s="45">
        <v>0.69197249766534497</v>
      </c>
      <c r="Q170" s="46">
        <v>0.70389642619654325</v>
      </c>
    </row>
    <row r="171" spans="5:18" ht="15" x14ac:dyDescent="0.2">
      <c r="E171" s="14" t="s">
        <v>10</v>
      </c>
      <c r="F171" s="47">
        <v>0.79999999999999993</v>
      </c>
      <c r="G171" s="47">
        <v>0.92391304347826098</v>
      </c>
      <c r="H171" s="48">
        <v>1.0169491525423728</v>
      </c>
      <c r="I171" s="47">
        <v>1.1071428571428572</v>
      </c>
      <c r="J171" s="47">
        <v>1.1875</v>
      </c>
      <c r="K171" s="48">
        <v>1.56</v>
      </c>
      <c r="L171" s="47">
        <v>2.0460358056265986</v>
      </c>
      <c r="M171" s="47">
        <v>2.392156862745098</v>
      </c>
      <c r="N171" s="48">
        <v>2.5882352941176472</v>
      </c>
      <c r="O171" s="47">
        <v>2.7149321266968327</v>
      </c>
      <c r="P171" s="47">
        <v>2.8523862375138735</v>
      </c>
      <c r="Q171" s="48">
        <v>2.9411764705882351</v>
      </c>
    </row>
    <row r="175" spans="5:18" ht="15" x14ac:dyDescent="0.2">
      <c r="E175" s="1" t="s">
        <v>13</v>
      </c>
      <c r="F175" s="1">
        <v>1</v>
      </c>
      <c r="G175" s="1">
        <v>2</v>
      </c>
      <c r="H175" s="1">
        <v>3</v>
      </c>
      <c r="I175" s="1">
        <v>4</v>
      </c>
      <c r="J175" s="1">
        <v>5</v>
      </c>
      <c r="K175" s="1">
        <v>10</v>
      </c>
      <c r="L175" s="1">
        <v>20</v>
      </c>
      <c r="M175" s="1">
        <v>30</v>
      </c>
      <c r="N175" s="1">
        <v>40</v>
      </c>
      <c r="O175" s="1">
        <v>50</v>
      </c>
      <c r="P175" s="1">
        <v>60</v>
      </c>
      <c r="Q175" s="1">
        <v>70</v>
      </c>
    </row>
    <row r="176" spans="5:18" ht="13.5" x14ac:dyDescent="0.2">
      <c r="E176" s="9" t="s">
        <v>6</v>
      </c>
      <c r="F176" s="42">
        <v>3</v>
      </c>
      <c r="G176" s="42">
        <v>4.7</v>
      </c>
      <c r="H176" s="43">
        <v>6.15</v>
      </c>
      <c r="I176" s="42">
        <v>7.45</v>
      </c>
      <c r="J176" s="42">
        <v>8.5</v>
      </c>
      <c r="K176" s="43">
        <v>14</v>
      </c>
      <c r="L176" s="42">
        <v>23</v>
      </c>
      <c r="M176" s="42">
        <v>30</v>
      </c>
      <c r="N176" s="43">
        <v>37.5</v>
      </c>
      <c r="O176" s="42">
        <v>45.5</v>
      </c>
      <c r="P176" s="42">
        <v>53</v>
      </c>
      <c r="Q176" s="43">
        <v>61</v>
      </c>
    </row>
    <row r="177" spans="5:18" ht="13.5" x14ac:dyDescent="0.2">
      <c r="E177" s="9" t="s">
        <v>7</v>
      </c>
      <c r="F177" s="42">
        <v>-2.4</v>
      </c>
      <c r="G177" s="42">
        <v>-4.25</v>
      </c>
      <c r="H177" s="43">
        <v>-6</v>
      </c>
      <c r="I177" s="42">
        <v>-7.75</v>
      </c>
      <c r="J177" s="42">
        <v>-9.5</v>
      </c>
      <c r="K177" s="43">
        <v>-19.5</v>
      </c>
      <c r="L177" s="42">
        <v>-40</v>
      </c>
      <c r="M177" s="42">
        <v>-61</v>
      </c>
      <c r="N177" s="43">
        <v>-82.5</v>
      </c>
      <c r="O177" s="42">
        <v>-105</v>
      </c>
      <c r="P177" s="42">
        <v>-128.5</v>
      </c>
      <c r="Q177" s="43">
        <v>-152.5</v>
      </c>
    </row>
    <row r="179" spans="5:18" ht="15" x14ac:dyDescent="0.2">
      <c r="E179" s="1" t="s">
        <v>12</v>
      </c>
      <c r="F179" s="1">
        <v>1</v>
      </c>
      <c r="G179" s="1">
        <v>2</v>
      </c>
      <c r="H179" s="1">
        <v>3</v>
      </c>
      <c r="I179" s="1">
        <v>4</v>
      </c>
      <c r="J179" s="1">
        <v>5</v>
      </c>
      <c r="K179" s="1">
        <v>10</v>
      </c>
      <c r="L179" s="1">
        <v>20</v>
      </c>
      <c r="M179" s="1">
        <v>30</v>
      </c>
      <c r="N179" s="1">
        <v>40</v>
      </c>
      <c r="O179" s="1">
        <v>50</v>
      </c>
      <c r="P179" s="1">
        <v>60</v>
      </c>
      <c r="Q179" s="1">
        <v>70</v>
      </c>
      <c r="R179" t="s">
        <v>55</v>
      </c>
    </row>
    <row r="180" spans="5:18" ht="13.5" x14ac:dyDescent="0.2">
      <c r="E180" s="9" t="s">
        <v>6</v>
      </c>
      <c r="F180" s="64">
        <v>6</v>
      </c>
      <c r="G180" s="64">
        <v>9.4</v>
      </c>
      <c r="H180" s="65">
        <v>12.3</v>
      </c>
      <c r="I180" s="64">
        <v>14.9</v>
      </c>
      <c r="J180" s="64">
        <v>17</v>
      </c>
      <c r="K180" s="65">
        <v>28</v>
      </c>
      <c r="L180" s="64">
        <v>46</v>
      </c>
      <c r="M180" s="64">
        <v>60</v>
      </c>
      <c r="N180" s="65">
        <v>75</v>
      </c>
      <c r="O180" s="64">
        <v>91</v>
      </c>
      <c r="P180" s="64">
        <v>106</v>
      </c>
      <c r="Q180" s="65">
        <v>122</v>
      </c>
    </row>
    <row r="181" spans="5:18" ht="13.5" x14ac:dyDescent="0.2">
      <c r="E181" s="9" t="s">
        <v>7</v>
      </c>
      <c r="F181" s="64">
        <v>-4.8</v>
      </c>
      <c r="G181" s="64">
        <v>-8.5</v>
      </c>
      <c r="H181" s="65">
        <v>-12</v>
      </c>
      <c r="I181" s="64">
        <v>-15.5</v>
      </c>
      <c r="J181" s="64">
        <v>-19</v>
      </c>
      <c r="K181" s="65">
        <v>-39</v>
      </c>
      <c r="L181" s="64">
        <v>-80</v>
      </c>
      <c r="M181" s="64">
        <v>-122</v>
      </c>
      <c r="N181" s="65">
        <v>-165</v>
      </c>
      <c r="O181" s="64">
        <v>-210</v>
      </c>
      <c r="P181" s="64">
        <v>-257</v>
      </c>
      <c r="Q181" s="65">
        <v>-305</v>
      </c>
    </row>
    <row r="182" spans="5:18" ht="15" x14ac:dyDescent="0.2">
      <c r="E182" s="11" t="s">
        <v>8</v>
      </c>
      <c r="F182" s="44">
        <v>-4.8</v>
      </c>
      <c r="G182" s="44">
        <v>-4.25</v>
      </c>
      <c r="H182" s="44">
        <v>-4</v>
      </c>
      <c r="I182" s="44">
        <v>-3.875</v>
      </c>
      <c r="J182" s="44">
        <v>-3.8</v>
      </c>
      <c r="K182" s="44">
        <v>-3.9</v>
      </c>
      <c r="L182" s="44">
        <v>-4</v>
      </c>
      <c r="M182" s="44">
        <v>-4.0666666666666664</v>
      </c>
      <c r="N182" s="44">
        <v>-4.125</v>
      </c>
      <c r="O182" s="44">
        <v>-4.2</v>
      </c>
      <c r="P182" s="44">
        <v>-4.2833333333333332</v>
      </c>
      <c r="Q182" s="44">
        <v>-4.3571428571428568</v>
      </c>
    </row>
    <row r="183" spans="5:18" ht="15" x14ac:dyDescent="0.2">
      <c r="E183" s="8" t="s">
        <v>9</v>
      </c>
      <c r="F183" s="45">
        <v>0.77543999738373293</v>
      </c>
      <c r="G183" s="45">
        <v>0.68658749768351357</v>
      </c>
      <c r="H183" s="46">
        <v>0.64619999781977744</v>
      </c>
      <c r="I183" s="45">
        <v>0.62600624788790937</v>
      </c>
      <c r="J183" s="45">
        <v>0.61388999792878851</v>
      </c>
      <c r="K183" s="46">
        <v>0.63004499787428303</v>
      </c>
      <c r="L183" s="45">
        <v>0.64619999781977744</v>
      </c>
      <c r="M183" s="45">
        <v>0.65696999778344034</v>
      </c>
      <c r="N183" s="46">
        <v>0.6663937477516455</v>
      </c>
      <c r="O183" s="45">
        <v>0.67850999771076637</v>
      </c>
      <c r="P183" s="45">
        <v>0.69197249766534497</v>
      </c>
      <c r="Q183" s="46">
        <v>0.70389642619654325</v>
      </c>
    </row>
    <row r="184" spans="5:18" ht="15" x14ac:dyDescent="0.2">
      <c r="E184" s="14" t="s">
        <v>10</v>
      </c>
      <c r="F184" s="47">
        <v>0.79999999999999993</v>
      </c>
      <c r="G184" s="47">
        <v>0.90425531914893609</v>
      </c>
      <c r="H184" s="48">
        <v>0.97560975609756095</v>
      </c>
      <c r="I184" s="47">
        <v>1.0402684563758389</v>
      </c>
      <c r="J184" s="47">
        <v>1.1176470588235294</v>
      </c>
      <c r="K184" s="48">
        <v>1.3928571428571428</v>
      </c>
      <c r="L184" s="47">
        <v>1.7391304347826086</v>
      </c>
      <c r="M184" s="47">
        <v>2.0333333333333332</v>
      </c>
      <c r="N184" s="48">
        <v>2.2000000000000002</v>
      </c>
      <c r="O184" s="47">
        <v>2.3076923076923075</v>
      </c>
      <c r="P184" s="47">
        <v>2.4245283018867925</v>
      </c>
      <c r="Q184" s="48">
        <v>2.5</v>
      </c>
    </row>
    <row r="188" spans="5:18" x14ac:dyDescent="0.2">
      <c r="Q188" t="s">
        <v>63</v>
      </c>
    </row>
    <row r="189" spans="5:18" x14ac:dyDescent="0.2">
      <c r="Q189" t="s">
        <v>61</v>
      </c>
    </row>
    <row r="190" spans="5:18" x14ac:dyDescent="0.2">
      <c r="Q190" t="s">
        <v>62</v>
      </c>
    </row>
  </sheetData>
  <pageMargins left="0.7" right="0.7" top="0.75" bottom="0.75" header="0.3" footer="0.3"/>
  <pageSetup scale="74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>
    <pageSetUpPr fitToPage="1"/>
  </sheetPr>
  <dimension ref="A1:T269"/>
  <sheetViews>
    <sheetView showGridLines="0" zoomScale="90" zoomScaleNormal="90" workbookViewId="0"/>
  </sheetViews>
  <sheetFormatPr defaultRowHeight="12.75" x14ac:dyDescent="0.2"/>
  <cols>
    <col min="2" max="2" width="11.7109375" customWidth="1"/>
  </cols>
  <sheetData>
    <row r="1" spans="1:17" x14ac:dyDescent="0.2">
      <c r="A1" t="s">
        <v>15</v>
      </c>
      <c r="J1" s="57" t="s">
        <v>95</v>
      </c>
    </row>
    <row r="2" spans="1:17" x14ac:dyDescent="0.2">
      <c r="A2" s="18" t="s">
        <v>45</v>
      </c>
      <c r="J2" s="57" t="s">
        <v>97</v>
      </c>
      <c r="O2" s="51" t="s">
        <v>14</v>
      </c>
    </row>
    <row r="3" spans="1:17" x14ac:dyDescent="0.2">
      <c r="A3" s="69" t="s">
        <v>70</v>
      </c>
    </row>
    <row r="4" spans="1:17" x14ac:dyDescent="0.2">
      <c r="B4" s="87" t="s">
        <v>94</v>
      </c>
    </row>
    <row r="6" spans="1:17" x14ac:dyDescent="0.2">
      <c r="A6" s="18" t="s">
        <v>68</v>
      </c>
    </row>
    <row r="7" spans="1:17" x14ac:dyDescent="0.2">
      <c r="A7" s="18" t="s">
        <v>69</v>
      </c>
    </row>
    <row r="10" spans="1:17" x14ac:dyDescent="0.2">
      <c r="E10" s="59" t="s">
        <v>25</v>
      </c>
      <c r="F10" s="60">
        <v>0.96</v>
      </c>
    </row>
    <row r="11" spans="1:17" x14ac:dyDescent="0.2">
      <c r="E11" s="61" t="s">
        <v>26</v>
      </c>
      <c r="F11" s="62">
        <v>85</v>
      </c>
    </row>
    <row r="12" spans="1:17" x14ac:dyDescent="0.2">
      <c r="E12" s="61" t="s">
        <v>27</v>
      </c>
      <c r="F12" s="62">
        <v>0.9</v>
      </c>
    </row>
    <row r="15" spans="1:17" ht="15" x14ac:dyDescent="0.2">
      <c r="B15" s="18" t="s">
        <v>71</v>
      </c>
      <c r="E15" s="1" t="s">
        <v>13</v>
      </c>
      <c r="F15" s="1">
        <v>1</v>
      </c>
      <c r="G15" s="1">
        <v>2</v>
      </c>
      <c r="H15" s="1">
        <v>3</v>
      </c>
      <c r="I15" s="1">
        <v>4</v>
      </c>
      <c r="J15" s="1">
        <v>5</v>
      </c>
      <c r="K15" s="1">
        <v>10</v>
      </c>
      <c r="L15" s="1">
        <v>20</v>
      </c>
      <c r="M15" s="1">
        <v>30</v>
      </c>
      <c r="N15" s="1">
        <v>40</v>
      </c>
      <c r="O15" s="1">
        <v>50</v>
      </c>
      <c r="P15" s="1">
        <v>60</v>
      </c>
      <c r="Q15" s="1">
        <v>70</v>
      </c>
    </row>
    <row r="16" spans="1:17" ht="13.5" x14ac:dyDescent="0.2">
      <c r="B16" t="s">
        <v>72</v>
      </c>
      <c r="E16" s="9" t="s">
        <v>6</v>
      </c>
      <c r="F16" s="42">
        <f t="shared" ref="F16:Q16" si="0">F23/2</f>
        <v>5.12</v>
      </c>
      <c r="G16" s="42">
        <f t="shared" si="0"/>
        <v>6.29</v>
      </c>
      <c r="H16" s="43">
        <f t="shared" si="0"/>
        <v>7.3</v>
      </c>
      <c r="I16" s="42">
        <f t="shared" si="0"/>
        <v>8.1</v>
      </c>
      <c r="J16" s="42">
        <f t="shared" si="0"/>
        <v>8.8000000000000007</v>
      </c>
      <c r="K16" s="43">
        <f t="shared" si="0"/>
        <v>11</v>
      </c>
      <c r="L16" s="42">
        <f t="shared" si="0"/>
        <v>16</v>
      </c>
      <c r="M16" s="42">
        <f t="shared" si="0"/>
        <v>21</v>
      </c>
      <c r="N16" s="43">
        <f t="shared" si="0"/>
        <v>26</v>
      </c>
      <c r="O16" s="42">
        <f t="shared" si="0"/>
        <v>31.1</v>
      </c>
      <c r="P16" s="42">
        <f t="shared" si="0"/>
        <v>36.200000000000003</v>
      </c>
      <c r="Q16" s="43">
        <f t="shared" si="0"/>
        <v>41.4</v>
      </c>
    </row>
    <row r="17" spans="5:18" ht="13.5" x14ac:dyDescent="0.2">
      <c r="E17" s="9" t="s">
        <v>7</v>
      </c>
      <c r="F17" s="42">
        <f t="shared" ref="F17:Q17" si="1">F24/2</f>
        <v>-2.4</v>
      </c>
      <c r="G17" s="42">
        <f t="shared" si="1"/>
        <v>-4.25</v>
      </c>
      <c r="H17" s="43">
        <f t="shared" si="1"/>
        <v>-6</v>
      </c>
      <c r="I17" s="42">
        <f t="shared" si="1"/>
        <v>-7.75</v>
      </c>
      <c r="J17" s="42">
        <f t="shared" si="1"/>
        <v>-9.5</v>
      </c>
      <c r="K17" s="43">
        <f t="shared" si="1"/>
        <v>-19.5</v>
      </c>
      <c r="L17" s="42">
        <f t="shared" si="1"/>
        <v>-40</v>
      </c>
      <c r="M17" s="42">
        <f t="shared" si="1"/>
        <v>-61</v>
      </c>
      <c r="N17" s="43">
        <f t="shared" si="1"/>
        <v>-82.5</v>
      </c>
      <c r="O17" s="42">
        <f t="shared" si="1"/>
        <v>-105</v>
      </c>
      <c r="P17" s="42">
        <f t="shared" si="1"/>
        <v>-128.5</v>
      </c>
      <c r="Q17" s="43">
        <f t="shared" si="1"/>
        <v>-152.5</v>
      </c>
    </row>
    <row r="18" spans="5:18" ht="13.5" x14ac:dyDescent="0.2">
      <c r="E18" s="49"/>
      <c r="F18" s="50"/>
      <c r="G18" s="52"/>
      <c r="H18" s="52"/>
      <c r="I18" s="52"/>
      <c r="J18" s="52"/>
      <c r="K18" s="52"/>
      <c r="L18" s="52"/>
      <c r="M18" s="52"/>
      <c r="N18" s="52"/>
      <c r="P18" s="52"/>
      <c r="Q18" s="52"/>
    </row>
    <row r="19" spans="5:18" ht="13.5" x14ac:dyDescent="0.2">
      <c r="E19" s="9" t="s">
        <v>6</v>
      </c>
      <c r="F19" s="42">
        <v>10.24</v>
      </c>
      <c r="G19" s="42">
        <v>12.58</v>
      </c>
      <c r="H19" s="43">
        <v>14.600000000000003</v>
      </c>
      <c r="I19" s="42">
        <v>16.28</v>
      </c>
      <c r="J19" s="42">
        <v>17.520000000000003</v>
      </c>
      <c r="K19" s="43">
        <v>22.179999999999996</v>
      </c>
      <c r="L19" s="42">
        <v>30.119999999999997</v>
      </c>
      <c r="M19" s="42">
        <v>38.61999999999999</v>
      </c>
      <c r="N19" s="43">
        <v>48.239999999999995</v>
      </c>
      <c r="O19" s="42">
        <v>58.839999999999996</v>
      </c>
      <c r="P19" s="42">
        <v>69.94</v>
      </c>
      <c r="Q19" s="43">
        <v>81.28</v>
      </c>
      <c r="R19" s="18" t="s">
        <v>35</v>
      </c>
    </row>
    <row r="20" spans="5:18" ht="13.5" x14ac:dyDescent="0.2">
      <c r="E20" s="9" t="s">
        <v>7</v>
      </c>
      <c r="F20" s="42">
        <v>-5.4399999999999995</v>
      </c>
      <c r="G20" s="42">
        <v>-8.14</v>
      </c>
      <c r="H20" s="43">
        <v>-11.200000000000001</v>
      </c>
      <c r="I20" s="42">
        <v>-14.4</v>
      </c>
      <c r="J20" s="42">
        <v>-18.259999999999998</v>
      </c>
      <c r="K20" s="43">
        <v>-37.14</v>
      </c>
      <c r="L20" s="42">
        <v>-73.98</v>
      </c>
      <c r="M20" s="42">
        <v>-110.92</v>
      </c>
      <c r="N20" s="43">
        <v>-148.58000000000001</v>
      </c>
      <c r="O20" s="42">
        <v>-187.88000000000005</v>
      </c>
      <c r="P20" s="42">
        <v>-226.7</v>
      </c>
      <c r="Q20" s="43">
        <v>-265.76</v>
      </c>
      <c r="R20" s="18" t="s">
        <v>30</v>
      </c>
    </row>
    <row r="21" spans="5:18" ht="15" x14ac:dyDescent="0.2">
      <c r="E21" s="8" t="s">
        <v>9</v>
      </c>
      <c r="F21" s="45">
        <v>0.88100000000000001</v>
      </c>
      <c r="G21" s="45">
        <v>0.65800000000000003</v>
      </c>
      <c r="H21" s="46">
        <v>0.60599999999999998</v>
      </c>
      <c r="I21" s="45">
        <v>0.58699999999999997</v>
      </c>
      <c r="J21" s="45">
        <v>0.59199999999999997</v>
      </c>
      <c r="K21" s="46">
        <v>0.6</v>
      </c>
      <c r="L21" s="45">
        <v>0.59800000000000009</v>
      </c>
      <c r="M21" s="45">
        <v>0.59599999999999997</v>
      </c>
      <c r="N21" s="46">
        <v>0.60100000000000009</v>
      </c>
      <c r="O21" s="45">
        <v>0.60400000000000009</v>
      </c>
      <c r="P21" s="45">
        <v>0.6090000000000001</v>
      </c>
      <c r="Q21" s="46">
        <v>0.61199999999999999</v>
      </c>
      <c r="R21" t="s">
        <v>28</v>
      </c>
    </row>
    <row r="22" spans="5:18" ht="15" x14ac:dyDescent="0.2">
      <c r="E22" s="1"/>
      <c r="F22" s="1">
        <v>1</v>
      </c>
      <c r="G22" s="1">
        <v>2</v>
      </c>
      <c r="H22" s="1">
        <v>3</v>
      </c>
      <c r="I22" s="1">
        <v>4</v>
      </c>
      <c r="J22" s="1">
        <v>5</v>
      </c>
      <c r="K22" s="1">
        <v>10</v>
      </c>
      <c r="L22" s="1">
        <v>20</v>
      </c>
      <c r="M22" s="1">
        <v>30</v>
      </c>
      <c r="N22" s="1">
        <v>40</v>
      </c>
      <c r="O22" s="1">
        <v>50</v>
      </c>
      <c r="P22" s="1">
        <v>60</v>
      </c>
      <c r="Q22" s="1">
        <v>70</v>
      </c>
      <c r="R22" t="s">
        <v>56</v>
      </c>
    </row>
    <row r="23" spans="5:18" ht="13.5" x14ac:dyDescent="0.2">
      <c r="E23" s="9" t="s">
        <v>6</v>
      </c>
      <c r="F23" s="64">
        <v>10.24</v>
      </c>
      <c r="G23" s="64">
        <v>12.58</v>
      </c>
      <c r="H23" s="65">
        <v>14.6</v>
      </c>
      <c r="I23" s="64">
        <v>16.2</v>
      </c>
      <c r="J23" s="64">
        <v>17.600000000000001</v>
      </c>
      <c r="K23" s="65">
        <v>22</v>
      </c>
      <c r="L23" s="64">
        <v>32</v>
      </c>
      <c r="M23" s="64">
        <v>42</v>
      </c>
      <c r="N23" s="65">
        <v>52</v>
      </c>
      <c r="O23" s="64">
        <v>62.2</v>
      </c>
      <c r="P23" s="64">
        <v>72.400000000000006</v>
      </c>
      <c r="Q23" s="65">
        <v>82.8</v>
      </c>
      <c r="R23" s="75" t="s">
        <v>43</v>
      </c>
    </row>
    <row r="24" spans="5:18" ht="13.5" x14ac:dyDescent="0.2">
      <c r="E24" s="76" t="s">
        <v>7</v>
      </c>
      <c r="F24" s="72">
        <v>-4.8</v>
      </c>
      <c r="G24" s="72">
        <v>-8.5</v>
      </c>
      <c r="H24" s="73">
        <v>-12</v>
      </c>
      <c r="I24" s="72">
        <v>-15.5</v>
      </c>
      <c r="J24" s="72">
        <v>-19</v>
      </c>
      <c r="K24" s="73">
        <v>-39</v>
      </c>
      <c r="L24" s="72">
        <v>-80</v>
      </c>
      <c r="M24" s="72">
        <v>-122</v>
      </c>
      <c r="N24" s="73">
        <v>-165</v>
      </c>
      <c r="O24" s="72">
        <v>-210</v>
      </c>
      <c r="P24" s="72">
        <v>-257</v>
      </c>
      <c r="Q24" s="73">
        <v>-305</v>
      </c>
      <c r="R24" s="71" t="s">
        <v>38</v>
      </c>
    </row>
    <row r="25" spans="5:18" ht="15" x14ac:dyDescent="0.2">
      <c r="E25" s="11" t="s">
        <v>8</v>
      </c>
      <c r="F25" s="44">
        <f>F24/F22</f>
        <v>-4.8</v>
      </c>
      <c r="G25" s="44">
        <f t="shared" ref="G25:Q25" si="2">G24/G22</f>
        <v>-4.25</v>
      </c>
      <c r="H25" s="44">
        <f t="shared" si="2"/>
        <v>-4</v>
      </c>
      <c r="I25" s="44">
        <f t="shared" si="2"/>
        <v>-3.875</v>
      </c>
      <c r="J25" s="44">
        <f t="shared" si="2"/>
        <v>-3.8</v>
      </c>
      <c r="K25" s="44">
        <f t="shared" si="2"/>
        <v>-3.9</v>
      </c>
      <c r="L25" s="44">
        <f t="shared" si="2"/>
        <v>-4</v>
      </c>
      <c r="M25" s="44">
        <f t="shared" si="2"/>
        <v>-4.0666666666666664</v>
      </c>
      <c r="N25" s="44">
        <f t="shared" si="2"/>
        <v>-4.125</v>
      </c>
      <c r="O25" s="44">
        <f t="shared" si="2"/>
        <v>-4.2</v>
      </c>
      <c r="P25" s="44">
        <f t="shared" si="2"/>
        <v>-4.2833333333333332</v>
      </c>
      <c r="Q25" s="44">
        <f t="shared" si="2"/>
        <v>-4.3571428571428568</v>
      </c>
    </row>
    <row r="26" spans="5:18" ht="15" x14ac:dyDescent="0.2">
      <c r="E26" s="8" t="s">
        <v>9</v>
      </c>
      <c r="F26" s="45">
        <f>SQRT(12*32.2*F25^2/(4*$F$11*($F$10*56)*$F$12^2))</f>
        <v>0.77543999738373293</v>
      </c>
      <c r="G26" s="45">
        <f t="shared" ref="G26:Q26" si="3">SQRT(12*32.2*G25^2/(4*$F$11*($F$10*56)*$F$12^2))</f>
        <v>0.68658749768351357</v>
      </c>
      <c r="H26" s="46">
        <f t="shared" si="3"/>
        <v>0.64619999781977744</v>
      </c>
      <c r="I26" s="45">
        <f t="shared" si="3"/>
        <v>0.62600624788790937</v>
      </c>
      <c r="J26" s="45">
        <f t="shared" si="3"/>
        <v>0.61388999792878851</v>
      </c>
      <c r="K26" s="46">
        <f t="shared" si="3"/>
        <v>0.63004499787428303</v>
      </c>
      <c r="L26" s="45">
        <f t="shared" si="3"/>
        <v>0.64619999781977744</v>
      </c>
      <c r="M26" s="45">
        <f t="shared" si="3"/>
        <v>0.65696999778344034</v>
      </c>
      <c r="N26" s="46">
        <f t="shared" si="3"/>
        <v>0.6663937477516455</v>
      </c>
      <c r="O26" s="45">
        <f t="shared" si="3"/>
        <v>0.67850999771076637</v>
      </c>
      <c r="P26" s="45">
        <f t="shared" si="3"/>
        <v>0.69197249766534497</v>
      </c>
      <c r="Q26" s="46">
        <f t="shared" si="3"/>
        <v>0.70389642619654325</v>
      </c>
      <c r="R26" s="71" t="s">
        <v>39</v>
      </c>
    </row>
    <row r="27" spans="5:18" ht="15" x14ac:dyDescent="0.2">
      <c r="E27" s="14" t="s">
        <v>10</v>
      </c>
      <c r="F27" s="47">
        <f>(F24/F23)*-1</f>
        <v>0.46875</v>
      </c>
      <c r="G27" s="47">
        <f t="shared" ref="G27:Q27" si="4">(G24/G23)*-1</f>
        <v>0.67567567567567566</v>
      </c>
      <c r="H27" s="48">
        <f t="shared" si="4"/>
        <v>0.82191780821917815</v>
      </c>
      <c r="I27" s="47">
        <f t="shared" si="4"/>
        <v>0.95679012345679015</v>
      </c>
      <c r="J27" s="47">
        <f t="shared" si="4"/>
        <v>1.0795454545454544</v>
      </c>
      <c r="K27" s="48">
        <f t="shared" si="4"/>
        <v>1.7727272727272727</v>
      </c>
      <c r="L27" s="47">
        <f t="shared" si="4"/>
        <v>2.5</v>
      </c>
      <c r="M27" s="47">
        <f t="shared" si="4"/>
        <v>2.9047619047619047</v>
      </c>
      <c r="N27" s="48">
        <f t="shared" si="4"/>
        <v>3.1730769230769229</v>
      </c>
      <c r="O27" s="47">
        <f t="shared" si="4"/>
        <v>3.3762057877813505</v>
      </c>
      <c r="P27" s="47">
        <f t="shared" si="4"/>
        <v>3.5497237569060771</v>
      </c>
      <c r="Q27" s="48">
        <f t="shared" si="4"/>
        <v>3.6835748792270531</v>
      </c>
      <c r="R27" s="39"/>
    </row>
    <row r="28" spans="5:18" x14ac:dyDescent="0.2">
      <c r="G28" s="78">
        <f>G27/F27</f>
        <v>1.4414414414414414</v>
      </c>
      <c r="H28" s="78">
        <f t="shared" ref="H28:I28" si="5">H27/G27</f>
        <v>1.2164383561643837</v>
      </c>
      <c r="I28" s="78">
        <f t="shared" si="5"/>
        <v>1.1640946502057612</v>
      </c>
      <c r="J28" s="78">
        <f>J27/I27</f>
        <v>1.1282991202346038</v>
      </c>
      <c r="K28" s="78">
        <f t="shared" ref="K28:Q28" si="6">K27/J27</f>
        <v>1.642105263157895</v>
      </c>
      <c r="L28" s="78">
        <f t="shared" si="6"/>
        <v>1.4102564102564104</v>
      </c>
      <c r="M28" s="78">
        <f t="shared" si="6"/>
        <v>1.1619047619047618</v>
      </c>
      <c r="N28" s="78">
        <f t="shared" si="6"/>
        <v>1.0923707440100883</v>
      </c>
      <c r="O28" s="78">
        <f t="shared" si="6"/>
        <v>1.0640163694826075</v>
      </c>
      <c r="P28" s="78">
        <f t="shared" si="6"/>
        <v>1.0513943699026571</v>
      </c>
      <c r="Q28" s="78">
        <f t="shared" si="6"/>
        <v>1.0377074757044307</v>
      </c>
    </row>
    <row r="29" spans="5:18" x14ac:dyDescent="0.2">
      <c r="G29" s="74">
        <f>G27-F27</f>
        <v>0.20692567567567566</v>
      </c>
      <c r="H29" s="74">
        <f t="shared" ref="H29:J29" si="7">H27-G27</f>
        <v>0.14624213254350249</v>
      </c>
      <c r="I29" s="74">
        <f t="shared" si="7"/>
        <v>0.13487231523761201</v>
      </c>
      <c r="J29" s="74">
        <f t="shared" si="7"/>
        <v>0.12275533108866421</v>
      </c>
      <c r="K29" s="74">
        <f>(K27-J27)/5</f>
        <v>0.13863636363636367</v>
      </c>
      <c r="L29" s="74">
        <f>(L27-K27)/10</f>
        <v>7.2727272727272724E-2</v>
      </c>
      <c r="M29" s="74">
        <f t="shared" ref="M29:Q29" si="8">(M27-L27)/10</f>
        <v>4.0476190476190464E-2</v>
      </c>
      <c r="N29" s="74">
        <f t="shared" si="8"/>
        <v>2.6831501831501826E-2</v>
      </c>
      <c r="O29" s="74">
        <f t="shared" si="8"/>
        <v>2.031288647044276E-2</v>
      </c>
      <c r="P29" s="74">
        <f t="shared" si="8"/>
        <v>1.7351796912472663E-2</v>
      </c>
      <c r="Q29" s="74">
        <f t="shared" si="8"/>
        <v>1.3385112232097596E-2</v>
      </c>
    </row>
    <row r="30" spans="5:18" x14ac:dyDescent="0.2">
      <c r="G30" s="74">
        <f>G27-F27</f>
        <v>0.20692567567567566</v>
      </c>
      <c r="H30" s="74">
        <f t="shared" ref="H30:Q30" si="9">H27-G27</f>
        <v>0.14624213254350249</v>
      </c>
      <c r="I30" s="74">
        <f t="shared" si="9"/>
        <v>0.13487231523761201</v>
      </c>
      <c r="J30" s="74">
        <f t="shared" si="9"/>
        <v>0.12275533108866421</v>
      </c>
      <c r="K30" s="74">
        <f t="shared" si="9"/>
        <v>0.69318181818181834</v>
      </c>
      <c r="L30" s="74">
        <f t="shared" si="9"/>
        <v>0.72727272727272729</v>
      </c>
      <c r="M30" s="74">
        <f t="shared" si="9"/>
        <v>0.40476190476190466</v>
      </c>
      <c r="N30" s="74">
        <f t="shared" si="9"/>
        <v>0.26831501831501825</v>
      </c>
      <c r="O30" s="74">
        <f t="shared" si="9"/>
        <v>0.20312886470442759</v>
      </c>
      <c r="P30" s="74">
        <f t="shared" si="9"/>
        <v>0.17351796912472661</v>
      </c>
      <c r="Q30" s="74">
        <f t="shared" si="9"/>
        <v>0.13385112232097596</v>
      </c>
    </row>
    <row r="31" spans="5:18" x14ac:dyDescent="0.2">
      <c r="F31" s="41"/>
      <c r="G31" s="41"/>
      <c r="H31" s="41"/>
      <c r="I31" s="41"/>
      <c r="J31" s="41"/>
      <c r="K31" s="41"/>
    </row>
    <row r="33" spans="6:17" ht="13.5" x14ac:dyDescent="0.2">
      <c r="F33" s="64">
        <v>10.24</v>
      </c>
      <c r="G33" s="64">
        <v>12.58</v>
      </c>
      <c r="H33" s="65">
        <v>14.6</v>
      </c>
      <c r="I33" s="64">
        <v>16.2</v>
      </c>
      <c r="J33" s="64">
        <v>17.600000000000001</v>
      </c>
      <c r="K33" s="65">
        <v>22</v>
      </c>
      <c r="L33" s="64">
        <v>30</v>
      </c>
      <c r="M33" s="64">
        <v>40</v>
      </c>
      <c r="N33" s="65">
        <v>50</v>
      </c>
      <c r="O33" s="64">
        <v>60.2</v>
      </c>
      <c r="P33" s="64">
        <v>70.400000000000006</v>
      </c>
      <c r="Q33" s="65">
        <v>80.8</v>
      </c>
    </row>
    <row r="51" spans="2:20" x14ac:dyDescent="0.2">
      <c r="F51" s="77">
        <f t="shared" ref="F51:Q51" si="10">(F60/F23)</f>
        <v>1.22265625</v>
      </c>
      <c r="G51" s="77">
        <f t="shared" si="10"/>
        <v>1.2400635930047694</v>
      </c>
      <c r="H51" s="77">
        <f t="shared" si="10"/>
        <v>1.2876712328767124</v>
      </c>
      <c r="I51" s="77">
        <f t="shared" si="10"/>
        <v>1.308641975308642</v>
      </c>
      <c r="J51" s="77">
        <f t="shared" si="10"/>
        <v>1.343181818181818</v>
      </c>
      <c r="K51" s="77">
        <f t="shared" si="10"/>
        <v>1.5454545454545454</v>
      </c>
      <c r="L51" s="77">
        <f t="shared" si="10"/>
        <v>1.5</v>
      </c>
      <c r="M51" s="77">
        <f t="shared" si="10"/>
        <v>1.4761904761904763</v>
      </c>
      <c r="N51" s="77">
        <f t="shared" si="10"/>
        <v>1.4807692307692308</v>
      </c>
      <c r="O51" s="77">
        <f t="shared" si="10"/>
        <v>1.4790996784565915</v>
      </c>
      <c r="P51" s="77">
        <f t="shared" si="10"/>
        <v>1.4917127071823204</v>
      </c>
      <c r="Q51" s="77">
        <f t="shared" si="10"/>
        <v>1.4975845410628019</v>
      </c>
    </row>
    <row r="52" spans="2:20" ht="15" x14ac:dyDescent="0.2">
      <c r="B52" t="s">
        <v>23</v>
      </c>
      <c r="E52" s="1" t="s">
        <v>13</v>
      </c>
      <c r="F52" s="1">
        <v>1</v>
      </c>
      <c r="G52" s="1">
        <v>2</v>
      </c>
      <c r="H52" s="1">
        <v>3</v>
      </c>
      <c r="I52" s="1">
        <v>4</v>
      </c>
      <c r="J52" s="1">
        <v>5</v>
      </c>
      <c r="K52" s="1">
        <v>10</v>
      </c>
      <c r="L52" s="1">
        <v>20</v>
      </c>
      <c r="M52" s="1">
        <v>30</v>
      </c>
      <c r="N52" s="1">
        <v>40</v>
      </c>
      <c r="O52" s="1">
        <v>50</v>
      </c>
      <c r="P52" s="1">
        <v>60</v>
      </c>
      <c r="Q52" s="1">
        <v>70</v>
      </c>
    </row>
    <row r="53" spans="2:20" ht="13.5" x14ac:dyDescent="0.2">
      <c r="B53" s="18" t="s">
        <v>66</v>
      </c>
      <c r="E53" s="9" t="s">
        <v>6</v>
      </c>
      <c r="F53" s="42">
        <f t="shared" ref="F53:Q53" si="11">F60/2</f>
        <v>6.26</v>
      </c>
      <c r="G53" s="42">
        <f t="shared" si="11"/>
        <v>7.8</v>
      </c>
      <c r="H53" s="43">
        <f t="shared" si="11"/>
        <v>9.4</v>
      </c>
      <c r="I53" s="42">
        <f t="shared" si="11"/>
        <v>10.6</v>
      </c>
      <c r="J53" s="42">
        <f t="shared" si="11"/>
        <v>11.82</v>
      </c>
      <c r="K53" s="43">
        <f t="shared" si="11"/>
        <v>17</v>
      </c>
      <c r="L53" s="42">
        <f t="shared" si="11"/>
        <v>24</v>
      </c>
      <c r="M53" s="42">
        <f t="shared" si="11"/>
        <v>31</v>
      </c>
      <c r="N53" s="43">
        <f t="shared" si="11"/>
        <v>38.5</v>
      </c>
      <c r="O53" s="42">
        <f t="shared" si="11"/>
        <v>46</v>
      </c>
      <c r="P53" s="42">
        <f t="shared" si="11"/>
        <v>54</v>
      </c>
      <c r="Q53" s="43">
        <f t="shared" si="11"/>
        <v>62</v>
      </c>
    </row>
    <row r="54" spans="2:20" ht="13.5" x14ac:dyDescent="0.2">
      <c r="B54" s="18" t="s">
        <v>67</v>
      </c>
      <c r="E54" s="9" t="s">
        <v>7</v>
      </c>
      <c r="F54" s="42">
        <f t="shared" ref="F54:Q54" si="12">F61/2</f>
        <v>-2.4</v>
      </c>
      <c r="G54" s="42">
        <f t="shared" si="12"/>
        <v>-4.25</v>
      </c>
      <c r="H54" s="43">
        <f t="shared" si="12"/>
        <v>-6</v>
      </c>
      <c r="I54" s="42">
        <f t="shared" si="12"/>
        <v>-7.75</v>
      </c>
      <c r="J54" s="42">
        <f t="shared" si="12"/>
        <v>-9.5</v>
      </c>
      <c r="K54" s="43">
        <f t="shared" si="12"/>
        <v>-19.5</v>
      </c>
      <c r="L54" s="42">
        <f t="shared" si="12"/>
        <v>-40</v>
      </c>
      <c r="M54" s="42">
        <f t="shared" si="12"/>
        <v>-61</v>
      </c>
      <c r="N54" s="43">
        <f t="shared" si="12"/>
        <v>-82.5</v>
      </c>
      <c r="O54" s="42">
        <f t="shared" si="12"/>
        <v>-105</v>
      </c>
      <c r="P54" s="42">
        <f t="shared" si="12"/>
        <v>-128.5</v>
      </c>
      <c r="Q54" s="43">
        <f t="shared" si="12"/>
        <v>-152.5</v>
      </c>
    </row>
    <row r="55" spans="2:20" ht="13.5" x14ac:dyDescent="0.2">
      <c r="E55" s="49"/>
      <c r="F55" s="50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</row>
    <row r="56" spans="2:20" ht="13.5" x14ac:dyDescent="0.2">
      <c r="E56" s="9" t="s">
        <v>6</v>
      </c>
      <c r="F56" s="42">
        <v>12.52</v>
      </c>
      <c r="G56" s="42">
        <v>15.360000000000003</v>
      </c>
      <c r="H56" s="43">
        <v>18.16</v>
      </c>
      <c r="I56" s="42">
        <v>20.76</v>
      </c>
      <c r="J56" s="42">
        <v>23.64</v>
      </c>
      <c r="K56" s="43">
        <v>35.379999999999995</v>
      </c>
      <c r="L56" s="42">
        <v>51.839999999999996</v>
      </c>
      <c r="M56" s="42">
        <v>66.489999999999995</v>
      </c>
      <c r="N56" s="43">
        <v>81.320000000000007</v>
      </c>
      <c r="O56" s="42">
        <v>96.799999999999983</v>
      </c>
      <c r="P56" s="42">
        <v>111.74000000000001</v>
      </c>
      <c r="Q56" s="43">
        <v>126.6</v>
      </c>
      <c r="R56" s="18" t="s">
        <v>35</v>
      </c>
    </row>
    <row r="57" spans="2:20" ht="13.5" x14ac:dyDescent="0.2">
      <c r="E57" s="9" t="s">
        <v>7</v>
      </c>
      <c r="F57" s="42">
        <v>-5.1199999999999992</v>
      </c>
      <c r="G57" s="42">
        <v>-8.7799999999999994</v>
      </c>
      <c r="H57" s="43">
        <v>-12.84</v>
      </c>
      <c r="I57" s="42">
        <v>-17.219999999999995</v>
      </c>
      <c r="J57" s="42">
        <v>-21.7</v>
      </c>
      <c r="K57" s="43">
        <v>-46.139999999999993</v>
      </c>
      <c r="L57" s="42">
        <v>-93.32</v>
      </c>
      <c r="M57" s="42">
        <v>-140.04</v>
      </c>
      <c r="N57" s="43">
        <v>-189.85999999999999</v>
      </c>
      <c r="O57" s="42">
        <v>-241.91999999999993</v>
      </c>
      <c r="P57" s="42">
        <v>-291.70000000000005</v>
      </c>
      <c r="Q57" s="43">
        <v>-340.04</v>
      </c>
      <c r="R57" s="18" t="s">
        <v>30</v>
      </c>
    </row>
    <row r="58" spans="2:20" ht="15" x14ac:dyDescent="0.2">
      <c r="E58" s="8" t="s">
        <v>9</v>
      </c>
      <c r="F58" s="45">
        <v>0.82699999999999996</v>
      </c>
      <c r="G58" s="45">
        <v>0.70899999999999985</v>
      </c>
      <c r="H58" s="46">
        <v>0.68800000000000006</v>
      </c>
      <c r="I58" s="45">
        <v>0.69800000000000006</v>
      </c>
      <c r="J58" s="45">
        <v>0.70299999999999996</v>
      </c>
      <c r="K58" s="46">
        <v>0.74599999999999989</v>
      </c>
      <c r="L58" s="45">
        <v>0.75600000000000001</v>
      </c>
      <c r="M58" s="45">
        <v>0.75299999999999989</v>
      </c>
      <c r="N58" s="46">
        <v>0.77099999999999991</v>
      </c>
      <c r="O58" s="45">
        <v>0.78300000000000003</v>
      </c>
      <c r="P58" s="45">
        <v>0.78900000000000003</v>
      </c>
      <c r="Q58" s="46">
        <v>0.78600000000000014</v>
      </c>
      <c r="R58" t="s">
        <v>28</v>
      </c>
    </row>
    <row r="59" spans="2:20" ht="15" x14ac:dyDescent="0.2">
      <c r="E59" s="1"/>
      <c r="F59" s="1">
        <v>1</v>
      </c>
      <c r="G59" s="1">
        <v>2</v>
      </c>
      <c r="H59" s="1">
        <v>3</v>
      </c>
      <c r="I59" s="1">
        <v>4</v>
      </c>
      <c r="J59" s="1">
        <v>5</v>
      </c>
      <c r="K59" s="1">
        <v>10</v>
      </c>
      <c r="L59" s="1">
        <v>20</v>
      </c>
      <c r="M59" s="1">
        <v>30</v>
      </c>
      <c r="N59" s="1">
        <v>40</v>
      </c>
      <c r="O59" s="1">
        <v>50</v>
      </c>
      <c r="P59" s="1">
        <v>60</v>
      </c>
      <c r="Q59" s="1">
        <v>70</v>
      </c>
      <c r="R59" t="s">
        <v>55</v>
      </c>
      <c r="T59" s="57" t="s">
        <v>74</v>
      </c>
    </row>
    <row r="60" spans="2:20" ht="13.5" x14ac:dyDescent="0.2">
      <c r="E60" s="9" t="s">
        <v>6</v>
      </c>
      <c r="F60" s="64">
        <v>12.52</v>
      </c>
      <c r="G60" s="64">
        <v>15.6</v>
      </c>
      <c r="H60" s="65">
        <v>18.8</v>
      </c>
      <c r="I60" s="64">
        <v>21.2</v>
      </c>
      <c r="J60" s="64">
        <v>23.64</v>
      </c>
      <c r="K60" s="65">
        <v>34</v>
      </c>
      <c r="L60" s="64">
        <v>48</v>
      </c>
      <c r="M60" s="64">
        <v>62</v>
      </c>
      <c r="N60" s="65">
        <v>77</v>
      </c>
      <c r="O60" s="64">
        <v>92</v>
      </c>
      <c r="P60" s="64">
        <v>108</v>
      </c>
      <c r="Q60" s="65">
        <v>124</v>
      </c>
      <c r="R60" s="75" t="s">
        <v>73</v>
      </c>
    </row>
    <row r="61" spans="2:20" ht="13.5" x14ac:dyDescent="0.2">
      <c r="E61" s="76" t="s">
        <v>7</v>
      </c>
      <c r="F61" s="72">
        <v>-4.8</v>
      </c>
      <c r="G61" s="72">
        <v>-8.5</v>
      </c>
      <c r="H61" s="73">
        <v>-12</v>
      </c>
      <c r="I61" s="72">
        <v>-15.5</v>
      </c>
      <c r="J61" s="72">
        <v>-19</v>
      </c>
      <c r="K61" s="73">
        <v>-39</v>
      </c>
      <c r="L61" s="72">
        <v>-80</v>
      </c>
      <c r="M61" s="72">
        <v>-122</v>
      </c>
      <c r="N61" s="73">
        <v>-165</v>
      </c>
      <c r="O61" s="72">
        <v>-210</v>
      </c>
      <c r="P61" s="72">
        <v>-257</v>
      </c>
      <c r="Q61" s="73">
        <v>-305</v>
      </c>
      <c r="R61" s="71" t="s">
        <v>38</v>
      </c>
    </row>
    <row r="62" spans="2:20" ht="15" x14ac:dyDescent="0.2">
      <c r="E62" s="11" t="s">
        <v>8</v>
      </c>
      <c r="F62" s="44">
        <f>F61/F59</f>
        <v>-4.8</v>
      </c>
      <c r="G62" s="44">
        <f t="shared" ref="G62:P62" si="13">G61/G59</f>
        <v>-4.25</v>
      </c>
      <c r="H62" s="44">
        <f t="shared" si="13"/>
        <v>-4</v>
      </c>
      <c r="I62" s="44">
        <f t="shared" si="13"/>
        <v>-3.875</v>
      </c>
      <c r="J62" s="44">
        <f t="shared" si="13"/>
        <v>-3.8</v>
      </c>
      <c r="K62" s="44">
        <f t="shared" si="13"/>
        <v>-3.9</v>
      </c>
      <c r="L62" s="44">
        <f t="shared" si="13"/>
        <v>-4</v>
      </c>
      <c r="M62" s="44">
        <f t="shared" si="13"/>
        <v>-4.0666666666666664</v>
      </c>
      <c r="N62" s="44">
        <f t="shared" si="13"/>
        <v>-4.125</v>
      </c>
      <c r="O62" s="44">
        <f t="shared" si="13"/>
        <v>-4.2</v>
      </c>
      <c r="P62" s="44">
        <f t="shared" si="13"/>
        <v>-4.2833333333333332</v>
      </c>
      <c r="Q62" s="44">
        <f>Q61/Q59</f>
        <v>-4.3571428571428568</v>
      </c>
    </row>
    <row r="63" spans="2:20" ht="15" x14ac:dyDescent="0.2">
      <c r="E63" s="8" t="s">
        <v>9</v>
      </c>
      <c r="F63" s="45">
        <f>SQRT(12*32.2*F62^2/(4*$F$11*($F$10*56)*$F$12^2))</f>
        <v>0.77543999738373293</v>
      </c>
      <c r="G63" s="45">
        <f t="shared" ref="G63:Q63" si="14">SQRT(12*32.2*G62^2/(4*$F$11*($F$10*56)*$F$12^2))</f>
        <v>0.68658749768351357</v>
      </c>
      <c r="H63" s="46">
        <f t="shared" si="14"/>
        <v>0.64619999781977744</v>
      </c>
      <c r="I63" s="45">
        <f t="shared" si="14"/>
        <v>0.62600624788790937</v>
      </c>
      <c r="J63" s="45">
        <f t="shared" si="14"/>
        <v>0.61388999792878851</v>
      </c>
      <c r="K63" s="46">
        <f t="shared" si="14"/>
        <v>0.63004499787428303</v>
      </c>
      <c r="L63" s="45">
        <f t="shared" si="14"/>
        <v>0.64619999781977744</v>
      </c>
      <c r="M63" s="45">
        <f t="shared" si="14"/>
        <v>0.65696999778344034</v>
      </c>
      <c r="N63" s="46">
        <f t="shared" si="14"/>
        <v>0.6663937477516455</v>
      </c>
      <c r="O63" s="45">
        <f t="shared" si="14"/>
        <v>0.67850999771076637</v>
      </c>
      <c r="P63" s="45">
        <f t="shared" si="14"/>
        <v>0.69197249766534497</v>
      </c>
      <c r="Q63" s="46">
        <f t="shared" si="14"/>
        <v>0.70389642619654325</v>
      </c>
      <c r="R63" s="71" t="s">
        <v>39</v>
      </c>
    </row>
    <row r="64" spans="2:20" ht="15" x14ac:dyDescent="0.2">
      <c r="E64" s="14" t="s">
        <v>10</v>
      </c>
      <c r="F64" s="47">
        <f>(F61/F60)*-1</f>
        <v>0.38338658146964855</v>
      </c>
      <c r="G64" s="47">
        <f t="shared" ref="G64:Q64" si="15">(G61/G60)*-1</f>
        <v>0.54487179487179493</v>
      </c>
      <c r="H64" s="48">
        <f t="shared" si="15"/>
        <v>0.63829787234042545</v>
      </c>
      <c r="I64" s="47">
        <f t="shared" si="15"/>
        <v>0.73113207547169812</v>
      </c>
      <c r="J64" s="47">
        <f t="shared" si="15"/>
        <v>0.80372250423011837</v>
      </c>
      <c r="K64" s="48">
        <f t="shared" si="15"/>
        <v>1.1470588235294117</v>
      </c>
      <c r="L64" s="47">
        <f t="shared" si="15"/>
        <v>1.6666666666666667</v>
      </c>
      <c r="M64" s="47">
        <f t="shared" si="15"/>
        <v>1.967741935483871</v>
      </c>
      <c r="N64" s="48">
        <f t="shared" si="15"/>
        <v>2.1428571428571428</v>
      </c>
      <c r="O64" s="47">
        <f t="shared" si="15"/>
        <v>2.2826086956521738</v>
      </c>
      <c r="P64" s="47">
        <f t="shared" si="15"/>
        <v>2.3796296296296298</v>
      </c>
      <c r="Q64" s="48">
        <f t="shared" si="15"/>
        <v>2.4596774193548385</v>
      </c>
      <c r="R64" s="39"/>
    </row>
    <row r="66" spans="6:20" x14ac:dyDescent="0.2">
      <c r="G66" s="74">
        <f>G64-F64</f>
        <v>0.16148521340214639</v>
      </c>
      <c r="H66" s="74">
        <f t="shared" ref="H66:J66" si="16">H64-G64</f>
        <v>9.342607746863052E-2</v>
      </c>
      <c r="I66" s="74">
        <f t="shared" si="16"/>
        <v>9.2834203131272663E-2</v>
      </c>
      <c r="J66" s="74">
        <f t="shared" si="16"/>
        <v>7.2590428758420256E-2</v>
      </c>
      <c r="K66" s="74">
        <f>(K64-J64)/5</f>
        <v>6.8667263859858663E-2</v>
      </c>
      <c r="L66" s="74">
        <f>(L64-K64)/10</f>
        <v>5.1960784313725507E-2</v>
      </c>
      <c r="M66" s="74">
        <f t="shared" ref="M66:Q66" si="17">(M64-L64)/10</f>
        <v>3.0107526881720425E-2</v>
      </c>
      <c r="N66" s="74">
        <f t="shared" si="17"/>
        <v>1.7511520737327181E-2</v>
      </c>
      <c r="O66" s="74">
        <f t="shared" si="17"/>
        <v>1.3975155279503104E-2</v>
      </c>
      <c r="P66" s="74">
        <f t="shared" si="17"/>
        <v>9.7020933977455918E-3</v>
      </c>
      <c r="Q66" s="74">
        <f t="shared" si="17"/>
        <v>8.0047789725208769E-3</v>
      </c>
    </row>
    <row r="67" spans="6:20" x14ac:dyDescent="0.2">
      <c r="G67" s="74">
        <f>G64-F64</f>
        <v>0.16148521340214639</v>
      </c>
      <c r="H67" s="74">
        <f t="shared" ref="H67:Q67" si="18">H64-G64</f>
        <v>9.342607746863052E-2</v>
      </c>
      <c r="I67" s="74">
        <f t="shared" si="18"/>
        <v>9.2834203131272663E-2</v>
      </c>
      <c r="J67" s="74">
        <f t="shared" si="18"/>
        <v>7.2590428758420256E-2</v>
      </c>
      <c r="K67" s="74">
        <f t="shared" si="18"/>
        <v>0.34333631929929331</v>
      </c>
      <c r="L67" s="74">
        <f t="shared" si="18"/>
        <v>0.51960784313725505</v>
      </c>
      <c r="M67" s="74">
        <f t="shared" si="18"/>
        <v>0.30107526881720426</v>
      </c>
      <c r="N67" s="74">
        <f t="shared" si="18"/>
        <v>0.1751152073732718</v>
      </c>
      <c r="O67" s="74">
        <f t="shared" si="18"/>
        <v>0.13975155279503104</v>
      </c>
      <c r="P67" s="74">
        <f t="shared" si="18"/>
        <v>9.7020933977455925E-2</v>
      </c>
      <c r="Q67" s="74">
        <f t="shared" si="18"/>
        <v>8.0047789725208762E-2</v>
      </c>
    </row>
    <row r="68" spans="6:20" x14ac:dyDescent="0.2">
      <c r="T68">
        <f>122/126.6</f>
        <v>0.9636650868878357</v>
      </c>
    </row>
    <row r="70" spans="6:20" x14ac:dyDescent="0.2">
      <c r="F70" s="40">
        <f>(F56*0.964)</f>
        <v>12.069279999999999</v>
      </c>
      <c r="G70" s="40">
        <f t="shared" ref="G70:Q70" si="19">(G56*0.964)</f>
        <v>14.807040000000002</v>
      </c>
      <c r="H70" s="40">
        <f t="shared" si="19"/>
        <v>17.506239999999998</v>
      </c>
      <c r="I70" s="40">
        <f t="shared" si="19"/>
        <v>20.012640000000001</v>
      </c>
      <c r="J70" s="40">
        <f t="shared" si="19"/>
        <v>22.788959999999999</v>
      </c>
      <c r="K70" s="40">
        <f t="shared" si="19"/>
        <v>34.106319999999997</v>
      </c>
      <c r="L70" s="40">
        <f t="shared" si="19"/>
        <v>49.973759999999992</v>
      </c>
      <c r="M70" s="40">
        <f t="shared" si="19"/>
        <v>64.09635999999999</v>
      </c>
      <c r="N70" s="40">
        <f t="shared" si="19"/>
        <v>78.392480000000006</v>
      </c>
      <c r="O70" s="40">
        <f t="shared" si="19"/>
        <v>93.315199999999976</v>
      </c>
      <c r="P70" s="40">
        <f t="shared" si="19"/>
        <v>107.71736</v>
      </c>
      <c r="Q70" s="40">
        <f t="shared" si="19"/>
        <v>122.04239999999999</v>
      </c>
    </row>
    <row r="71" spans="6:20" ht="13.5" x14ac:dyDescent="0.2">
      <c r="F71" s="64">
        <v>6</v>
      </c>
      <c r="G71" s="64">
        <v>9.4</v>
      </c>
      <c r="H71" s="65">
        <v>12.3</v>
      </c>
      <c r="I71" s="64">
        <v>14.9</v>
      </c>
      <c r="J71" s="64">
        <v>17</v>
      </c>
      <c r="K71" s="65">
        <v>28</v>
      </c>
      <c r="L71" s="64">
        <v>46</v>
      </c>
      <c r="M71" s="64">
        <v>60</v>
      </c>
      <c r="N71" s="65">
        <v>75</v>
      </c>
      <c r="O71" s="64">
        <v>91</v>
      </c>
      <c r="P71" s="64">
        <v>106</v>
      </c>
      <c r="Q71" s="65">
        <v>122</v>
      </c>
    </row>
    <row r="85" spans="2:18" x14ac:dyDescent="0.2">
      <c r="F85" s="77">
        <f>(F94/F60)</f>
        <v>0.93450479233226835</v>
      </c>
      <c r="G85" s="77">
        <f t="shared" ref="G85:P85" si="20">(G94/G60)</f>
        <v>0.9358974358974359</v>
      </c>
      <c r="H85" s="77">
        <f t="shared" si="20"/>
        <v>0.92553191489361686</v>
      </c>
      <c r="I85" s="77">
        <f t="shared" si="20"/>
        <v>0.91981132075471705</v>
      </c>
      <c r="J85" s="77">
        <f t="shared" si="20"/>
        <v>0.91370558375634525</v>
      </c>
      <c r="K85" s="77">
        <f t="shared" si="20"/>
        <v>0.88235294117647056</v>
      </c>
      <c r="L85" s="77">
        <f t="shared" si="20"/>
        <v>0.87083333333333324</v>
      </c>
      <c r="M85" s="77">
        <f t="shared" si="20"/>
        <v>0.87096774193548387</v>
      </c>
      <c r="N85" s="77">
        <f t="shared" si="20"/>
        <v>0.87142857142857133</v>
      </c>
      <c r="O85" s="77">
        <f t="shared" si="20"/>
        <v>0.87826086956521732</v>
      </c>
      <c r="P85" s="77">
        <f t="shared" si="20"/>
        <v>0.87129629629629624</v>
      </c>
      <c r="Q85" s="77">
        <f>(Q94/Q60)</f>
        <v>0.87096774193548387</v>
      </c>
    </row>
    <row r="86" spans="2:18" ht="15" x14ac:dyDescent="0.2">
      <c r="B86" s="18" t="s">
        <v>71</v>
      </c>
      <c r="E86" s="1" t="s">
        <v>13</v>
      </c>
      <c r="F86" s="1">
        <v>1</v>
      </c>
      <c r="G86" s="1">
        <v>2</v>
      </c>
      <c r="H86" s="1">
        <v>3</v>
      </c>
      <c r="I86" s="1">
        <v>4</v>
      </c>
      <c r="J86" s="1">
        <v>5</v>
      </c>
      <c r="K86" s="1">
        <v>10</v>
      </c>
      <c r="L86" s="1">
        <v>20</v>
      </c>
      <c r="M86" s="1">
        <v>30</v>
      </c>
      <c r="N86" s="1">
        <v>40</v>
      </c>
      <c r="O86" s="1">
        <v>50</v>
      </c>
      <c r="P86" s="1">
        <v>60</v>
      </c>
      <c r="Q86" s="1">
        <v>70</v>
      </c>
    </row>
    <row r="87" spans="2:18" ht="13.5" x14ac:dyDescent="0.2">
      <c r="B87" t="s">
        <v>72</v>
      </c>
      <c r="E87" s="9" t="s">
        <v>6</v>
      </c>
      <c r="F87" s="42">
        <f t="shared" ref="F87:Q87" si="21">F94/2</f>
        <v>5.85</v>
      </c>
      <c r="G87" s="42">
        <f t="shared" si="21"/>
        <v>7.3</v>
      </c>
      <c r="H87" s="43">
        <f t="shared" si="21"/>
        <v>8.6999999999999993</v>
      </c>
      <c r="I87" s="42">
        <f t="shared" si="21"/>
        <v>9.75</v>
      </c>
      <c r="J87" s="42">
        <f t="shared" si="21"/>
        <v>10.8</v>
      </c>
      <c r="K87" s="43">
        <f t="shared" si="21"/>
        <v>15</v>
      </c>
      <c r="L87" s="42">
        <f t="shared" si="21"/>
        <v>20.9</v>
      </c>
      <c r="M87" s="42">
        <f t="shared" si="21"/>
        <v>27</v>
      </c>
      <c r="N87" s="43">
        <f t="shared" si="21"/>
        <v>33.549999999999997</v>
      </c>
      <c r="O87" s="42">
        <f t="shared" si="21"/>
        <v>40.4</v>
      </c>
      <c r="P87" s="42">
        <f t="shared" si="21"/>
        <v>47.05</v>
      </c>
      <c r="Q87" s="43">
        <f t="shared" si="21"/>
        <v>54</v>
      </c>
    </row>
    <row r="88" spans="2:18" ht="13.5" x14ac:dyDescent="0.2">
      <c r="E88" s="9" t="s">
        <v>7</v>
      </c>
      <c r="F88" s="42">
        <f t="shared" ref="F88:Q88" si="22">F95/2</f>
        <v>-2.4</v>
      </c>
      <c r="G88" s="42">
        <f t="shared" si="22"/>
        <v>-4.25</v>
      </c>
      <c r="H88" s="43">
        <f t="shared" si="22"/>
        <v>-6</v>
      </c>
      <c r="I88" s="42">
        <f t="shared" si="22"/>
        <v>-7.75</v>
      </c>
      <c r="J88" s="42">
        <f t="shared" si="22"/>
        <v>-9.5</v>
      </c>
      <c r="K88" s="43">
        <f t="shared" si="22"/>
        <v>-19.5</v>
      </c>
      <c r="L88" s="42">
        <f t="shared" si="22"/>
        <v>-40</v>
      </c>
      <c r="M88" s="42">
        <f t="shared" si="22"/>
        <v>-61</v>
      </c>
      <c r="N88" s="43">
        <f t="shared" si="22"/>
        <v>-82.5</v>
      </c>
      <c r="O88" s="42">
        <f t="shared" si="22"/>
        <v>-105</v>
      </c>
      <c r="P88" s="42">
        <f t="shared" si="22"/>
        <v>-128.5</v>
      </c>
      <c r="Q88" s="43">
        <f t="shared" si="22"/>
        <v>-152.5</v>
      </c>
    </row>
    <row r="89" spans="2:18" ht="13.5" x14ac:dyDescent="0.2">
      <c r="E89" s="49"/>
      <c r="F89" s="50"/>
      <c r="G89" s="52"/>
      <c r="H89" s="52"/>
      <c r="I89" s="52"/>
      <c r="J89" s="52"/>
      <c r="K89" s="52"/>
      <c r="L89" s="52"/>
      <c r="M89" s="52"/>
      <c r="N89" s="52"/>
      <c r="P89" s="52"/>
      <c r="Q89" s="52"/>
    </row>
    <row r="90" spans="2:18" ht="13.5" x14ac:dyDescent="0.2">
      <c r="E90" s="9" t="s">
        <v>6</v>
      </c>
      <c r="F90" s="42">
        <v>10.24</v>
      </c>
      <c r="G90" s="42">
        <v>12.58</v>
      </c>
      <c r="H90" s="43">
        <v>14.600000000000003</v>
      </c>
      <c r="I90" s="42">
        <v>16.28</v>
      </c>
      <c r="J90" s="42">
        <v>17.520000000000003</v>
      </c>
      <c r="K90" s="43">
        <v>22.179999999999996</v>
      </c>
      <c r="L90" s="42">
        <v>30.119999999999997</v>
      </c>
      <c r="M90" s="42">
        <v>38.61999999999999</v>
      </c>
      <c r="N90" s="43">
        <v>48.239999999999995</v>
      </c>
      <c r="O90" s="42">
        <v>58.839999999999996</v>
      </c>
      <c r="P90" s="42">
        <v>69.94</v>
      </c>
      <c r="Q90" s="43">
        <v>81.28</v>
      </c>
      <c r="R90" s="18" t="s">
        <v>35</v>
      </c>
    </row>
    <row r="91" spans="2:18" ht="13.5" x14ac:dyDescent="0.2">
      <c r="E91" s="9" t="s">
        <v>7</v>
      </c>
      <c r="F91" s="42">
        <v>-5.4399999999999995</v>
      </c>
      <c r="G91" s="42">
        <v>-8.14</v>
      </c>
      <c r="H91" s="43">
        <v>-11.200000000000001</v>
      </c>
      <c r="I91" s="42">
        <v>-14.4</v>
      </c>
      <c r="J91" s="42">
        <v>-18.259999999999998</v>
      </c>
      <c r="K91" s="43">
        <v>-37.14</v>
      </c>
      <c r="L91" s="42">
        <v>-73.98</v>
      </c>
      <c r="M91" s="42">
        <v>-110.92</v>
      </c>
      <c r="N91" s="43">
        <v>-148.58000000000001</v>
      </c>
      <c r="O91" s="42">
        <v>-187.88000000000005</v>
      </c>
      <c r="P91" s="42">
        <v>-226.7</v>
      </c>
      <c r="Q91" s="43">
        <v>-265.76</v>
      </c>
      <c r="R91" s="18" t="s">
        <v>30</v>
      </c>
    </row>
    <row r="92" spans="2:18" ht="15" x14ac:dyDescent="0.2">
      <c r="E92" s="8" t="s">
        <v>9</v>
      </c>
      <c r="F92" s="45">
        <v>0.88100000000000001</v>
      </c>
      <c r="G92" s="45">
        <v>0.65800000000000003</v>
      </c>
      <c r="H92" s="46">
        <v>0.60599999999999998</v>
      </c>
      <c r="I92" s="45">
        <v>0.58699999999999997</v>
      </c>
      <c r="J92" s="45">
        <v>0.59199999999999997</v>
      </c>
      <c r="K92" s="46">
        <v>0.6</v>
      </c>
      <c r="L92" s="45">
        <v>0.59800000000000009</v>
      </c>
      <c r="M92" s="45">
        <v>0.59599999999999997</v>
      </c>
      <c r="N92" s="46">
        <v>0.60100000000000009</v>
      </c>
      <c r="O92" s="45">
        <v>0.60400000000000009</v>
      </c>
      <c r="P92" s="45">
        <v>0.6090000000000001</v>
      </c>
      <c r="Q92" s="46">
        <v>0.61199999999999999</v>
      </c>
      <c r="R92" t="s">
        <v>28</v>
      </c>
    </row>
    <row r="93" spans="2:18" ht="15" x14ac:dyDescent="0.2">
      <c r="E93" s="1"/>
      <c r="F93" s="1">
        <v>1</v>
      </c>
      <c r="G93" s="1">
        <v>2</v>
      </c>
      <c r="H93" s="1">
        <v>3</v>
      </c>
      <c r="I93" s="1">
        <v>4</v>
      </c>
      <c r="J93" s="1">
        <v>5</v>
      </c>
      <c r="K93" s="1">
        <v>10</v>
      </c>
      <c r="L93" s="1">
        <v>20</v>
      </c>
      <c r="M93" s="1">
        <v>30</v>
      </c>
      <c r="N93" s="1">
        <v>40</v>
      </c>
      <c r="O93" s="1">
        <v>50</v>
      </c>
      <c r="P93" s="1">
        <v>60</v>
      </c>
      <c r="Q93" s="1">
        <v>70</v>
      </c>
      <c r="R93" t="s">
        <v>57</v>
      </c>
    </row>
    <row r="94" spans="2:18" ht="13.5" x14ac:dyDescent="0.2">
      <c r="E94" s="9" t="s">
        <v>6</v>
      </c>
      <c r="F94" s="64">
        <v>11.7</v>
      </c>
      <c r="G94" s="64">
        <v>14.6</v>
      </c>
      <c r="H94" s="65">
        <v>17.399999999999999</v>
      </c>
      <c r="I94" s="64">
        <v>19.5</v>
      </c>
      <c r="J94" s="64">
        <v>21.6</v>
      </c>
      <c r="K94" s="65">
        <v>30</v>
      </c>
      <c r="L94" s="64">
        <v>41.8</v>
      </c>
      <c r="M94" s="64">
        <v>54</v>
      </c>
      <c r="N94" s="65">
        <v>67.099999999999994</v>
      </c>
      <c r="O94" s="64">
        <v>80.8</v>
      </c>
      <c r="P94" s="64">
        <v>94.1</v>
      </c>
      <c r="Q94" s="65">
        <v>108</v>
      </c>
      <c r="R94" s="75" t="s">
        <v>76</v>
      </c>
    </row>
    <row r="95" spans="2:18" ht="13.5" x14ac:dyDescent="0.2">
      <c r="E95" s="76" t="s">
        <v>7</v>
      </c>
      <c r="F95" s="72">
        <v>-4.8</v>
      </c>
      <c r="G95" s="72">
        <v>-8.5</v>
      </c>
      <c r="H95" s="73">
        <v>-12</v>
      </c>
      <c r="I95" s="72">
        <v>-15.5</v>
      </c>
      <c r="J95" s="72">
        <v>-19</v>
      </c>
      <c r="K95" s="73">
        <v>-39</v>
      </c>
      <c r="L95" s="72">
        <v>-80</v>
      </c>
      <c r="M95" s="72">
        <v>-122</v>
      </c>
      <c r="N95" s="73">
        <v>-165</v>
      </c>
      <c r="O95" s="72">
        <v>-210</v>
      </c>
      <c r="P95" s="72">
        <v>-257</v>
      </c>
      <c r="Q95" s="73">
        <v>-305</v>
      </c>
      <c r="R95" s="71" t="s">
        <v>38</v>
      </c>
    </row>
    <row r="96" spans="2:18" ht="15" x14ac:dyDescent="0.2">
      <c r="E96" s="11" t="s">
        <v>8</v>
      </c>
      <c r="F96" s="44">
        <f>F95/F93</f>
        <v>-4.8</v>
      </c>
      <c r="G96" s="44">
        <f t="shared" ref="G96" si="23">G95/G93</f>
        <v>-4.25</v>
      </c>
      <c r="H96" s="44">
        <f t="shared" ref="H96" si="24">H95/H93</f>
        <v>-4</v>
      </c>
      <c r="I96" s="44">
        <f t="shared" ref="I96" si="25">I95/I93</f>
        <v>-3.875</v>
      </c>
      <c r="J96" s="44">
        <f t="shared" ref="J96" si="26">J95/J93</f>
        <v>-3.8</v>
      </c>
      <c r="K96" s="44">
        <f t="shared" ref="K96" si="27">K95/K93</f>
        <v>-3.9</v>
      </c>
      <c r="L96" s="44">
        <f t="shared" ref="L96" si="28">L95/L93</f>
        <v>-4</v>
      </c>
      <c r="M96" s="44">
        <f t="shared" ref="M96" si="29">M95/M93</f>
        <v>-4.0666666666666664</v>
      </c>
      <c r="N96" s="44">
        <f t="shared" ref="N96" si="30">N95/N93</f>
        <v>-4.125</v>
      </c>
      <c r="O96" s="44">
        <f t="shared" ref="O96" si="31">O95/O93</f>
        <v>-4.2</v>
      </c>
      <c r="P96" s="44">
        <f t="shared" ref="P96" si="32">P95/P93</f>
        <v>-4.2833333333333332</v>
      </c>
      <c r="Q96" s="44">
        <f t="shared" ref="Q96" si="33">Q95/Q93</f>
        <v>-4.3571428571428568</v>
      </c>
    </row>
    <row r="97" spans="2:18" ht="15" x14ac:dyDescent="0.2">
      <c r="E97" s="8" t="s">
        <v>9</v>
      </c>
      <c r="F97" s="45">
        <f>SQRT(12*32.2*F96^2/(4*$F$11*($F$10*56)*$F$12^2))</f>
        <v>0.77543999738373293</v>
      </c>
      <c r="G97" s="45">
        <f t="shared" ref="G97" si="34">SQRT(12*32.2*G96^2/(4*$F$11*($F$10*56)*$F$12^2))</f>
        <v>0.68658749768351357</v>
      </c>
      <c r="H97" s="46">
        <f t="shared" ref="H97" si="35">SQRT(12*32.2*H96^2/(4*$F$11*($F$10*56)*$F$12^2))</f>
        <v>0.64619999781977744</v>
      </c>
      <c r="I97" s="45">
        <f t="shared" ref="I97" si="36">SQRT(12*32.2*I96^2/(4*$F$11*($F$10*56)*$F$12^2))</f>
        <v>0.62600624788790937</v>
      </c>
      <c r="J97" s="45">
        <f t="shared" ref="J97" si="37">SQRT(12*32.2*J96^2/(4*$F$11*($F$10*56)*$F$12^2))</f>
        <v>0.61388999792878851</v>
      </c>
      <c r="K97" s="46">
        <f t="shared" ref="K97" si="38">SQRT(12*32.2*K96^2/(4*$F$11*($F$10*56)*$F$12^2))</f>
        <v>0.63004499787428303</v>
      </c>
      <c r="L97" s="45">
        <f t="shared" ref="L97" si="39">SQRT(12*32.2*L96^2/(4*$F$11*($F$10*56)*$F$12^2))</f>
        <v>0.64619999781977744</v>
      </c>
      <c r="M97" s="45">
        <f t="shared" ref="M97" si="40">SQRT(12*32.2*M96^2/(4*$F$11*($F$10*56)*$F$12^2))</f>
        <v>0.65696999778344034</v>
      </c>
      <c r="N97" s="46">
        <f t="shared" ref="N97" si="41">SQRT(12*32.2*N96^2/(4*$F$11*($F$10*56)*$F$12^2))</f>
        <v>0.6663937477516455</v>
      </c>
      <c r="O97" s="45">
        <f t="shared" ref="O97" si="42">SQRT(12*32.2*O96^2/(4*$F$11*($F$10*56)*$F$12^2))</f>
        <v>0.67850999771076637</v>
      </c>
      <c r="P97" s="45">
        <f t="shared" ref="P97" si="43">SQRT(12*32.2*P96^2/(4*$F$11*($F$10*56)*$F$12^2))</f>
        <v>0.69197249766534497</v>
      </c>
      <c r="Q97" s="46">
        <f t="shared" ref="Q97" si="44">SQRT(12*32.2*Q96^2/(4*$F$11*($F$10*56)*$F$12^2))</f>
        <v>0.70389642619654325</v>
      </c>
      <c r="R97" s="71" t="s">
        <v>39</v>
      </c>
    </row>
    <row r="98" spans="2:18" ht="15" x14ac:dyDescent="0.2">
      <c r="E98" s="14" t="s">
        <v>10</v>
      </c>
      <c r="F98" s="47">
        <f>(F95/F94)*-1</f>
        <v>0.41025641025641024</v>
      </c>
      <c r="G98" s="47">
        <f t="shared" ref="G98:Q98" si="45">(G95/G94)*-1</f>
        <v>0.5821917808219178</v>
      </c>
      <c r="H98" s="48">
        <f t="shared" si="45"/>
        <v>0.68965517241379315</v>
      </c>
      <c r="I98" s="47">
        <f t="shared" si="45"/>
        <v>0.79487179487179482</v>
      </c>
      <c r="J98" s="47">
        <f t="shared" si="45"/>
        <v>0.87962962962962954</v>
      </c>
      <c r="K98" s="48">
        <f t="shared" si="45"/>
        <v>1.3</v>
      </c>
      <c r="L98" s="47">
        <f t="shared" si="45"/>
        <v>1.9138755980861246</v>
      </c>
      <c r="M98" s="47">
        <f t="shared" si="45"/>
        <v>2.2592592592592591</v>
      </c>
      <c r="N98" s="48">
        <f t="shared" si="45"/>
        <v>2.459016393442623</v>
      </c>
      <c r="O98" s="47">
        <f t="shared" si="45"/>
        <v>2.5990099009900991</v>
      </c>
      <c r="P98" s="47">
        <f t="shared" si="45"/>
        <v>2.7311370882040382</v>
      </c>
      <c r="Q98" s="48">
        <f t="shared" si="45"/>
        <v>2.824074074074074</v>
      </c>
      <c r="R98" s="39"/>
    </row>
    <row r="99" spans="2:18" x14ac:dyDescent="0.2">
      <c r="G99" s="78">
        <f>G98/F98</f>
        <v>1.4190924657534247</v>
      </c>
      <c r="H99" s="78">
        <f t="shared" ref="H99" si="46">H98/G98</f>
        <v>1.1845841784989859</v>
      </c>
      <c r="I99" s="78">
        <f t="shared" ref="I99" si="47">I98/H98</f>
        <v>1.1525641025641025</v>
      </c>
      <c r="J99" s="78">
        <f>J98/I98</f>
        <v>1.1066308243727598</v>
      </c>
      <c r="K99" s="78">
        <f t="shared" ref="K99" si="48">K98/J98</f>
        <v>1.4778947368421054</v>
      </c>
      <c r="L99" s="78">
        <f t="shared" ref="L99" si="49">L98/K98</f>
        <v>1.4722119985277882</v>
      </c>
      <c r="M99" s="78">
        <f t="shared" ref="M99" si="50">M98/L98</f>
        <v>1.1804629629629628</v>
      </c>
      <c r="N99" s="78">
        <f t="shared" ref="N99" si="51">N98/M98</f>
        <v>1.0884170921795218</v>
      </c>
      <c r="O99" s="78">
        <f t="shared" ref="O99" si="52">O98/N98</f>
        <v>1.056930693069307</v>
      </c>
      <c r="P99" s="78">
        <f t="shared" ref="P99" si="53">P98/O98</f>
        <v>1.0508375082232679</v>
      </c>
      <c r="Q99" s="78">
        <f t="shared" ref="Q99" si="54">Q98/P98</f>
        <v>1.0340286784839314</v>
      </c>
    </row>
    <row r="100" spans="2:18" x14ac:dyDescent="0.2">
      <c r="G100" s="74">
        <f>G98-F98</f>
        <v>0.17193537056550756</v>
      </c>
      <c r="H100" s="74">
        <f t="shared" ref="H100:J100" si="55">H98-G98</f>
        <v>0.10746339159187535</v>
      </c>
      <c r="I100" s="74">
        <f t="shared" si="55"/>
        <v>0.10521662245800167</v>
      </c>
      <c r="J100" s="74">
        <f t="shared" si="55"/>
        <v>8.4757834757834716E-2</v>
      </c>
      <c r="K100" s="74">
        <f>(K98-J98)/5</f>
        <v>8.4074074074074107E-2</v>
      </c>
      <c r="L100" s="74">
        <f>(L98-K98)/10</f>
        <v>6.1387559808612456E-2</v>
      </c>
      <c r="M100" s="74">
        <f t="shared" ref="M100:Q100" si="56">(M98-L98)/10</f>
        <v>3.4538366117313445E-2</v>
      </c>
      <c r="N100" s="74">
        <f t="shared" si="56"/>
        <v>1.9975713418336392E-2</v>
      </c>
      <c r="O100" s="74">
        <f t="shared" si="56"/>
        <v>1.3999350754747609E-2</v>
      </c>
      <c r="P100" s="74">
        <f t="shared" si="56"/>
        <v>1.3212718721393912E-2</v>
      </c>
      <c r="Q100" s="74">
        <f t="shared" si="56"/>
        <v>9.2936985870035738E-3</v>
      </c>
    </row>
    <row r="101" spans="2:18" x14ac:dyDescent="0.2">
      <c r="G101" s="74">
        <f>G98-F98</f>
        <v>0.17193537056550756</v>
      </c>
      <c r="H101" s="74">
        <f t="shared" ref="H101:Q101" si="57">H98-G98</f>
        <v>0.10746339159187535</v>
      </c>
      <c r="I101" s="74">
        <f t="shared" si="57"/>
        <v>0.10521662245800167</v>
      </c>
      <c r="J101" s="74">
        <f t="shared" si="57"/>
        <v>8.4757834757834716E-2</v>
      </c>
      <c r="K101" s="74">
        <f t="shared" si="57"/>
        <v>0.42037037037037051</v>
      </c>
      <c r="L101" s="74">
        <f t="shared" si="57"/>
        <v>0.61387559808612457</v>
      </c>
      <c r="M101" s="74">
        <f t="shared" si="57"/>
        <v>0.34538366117313446</v>
      </c>
      <c r="N101" s="74">
        <f t="shared" si="57"/>
        <v>0.19975713418336394</v>
      </c>
      <c r="O101" s="74">
        <f t="shared" si="57"/>
        <v>0.13999350754747608</v>
      </c>
      <c r="P101" s="74">
        <f t="shared" si="57"/>
        <v>0.13212718721393912</v>
      </c>
      <c r="Q101" s="74">
        <f t="shared" si="57"/>
        <v>9.2936985870035738E-2</v>
      </c>
    </row>
    <row r="103" spans="2:18" x14ac:dyDescent="0.2">
      <c r="K103" s="40">
        <v>29.614000000000001</v>
      </c>
      <c r="L103" s="40">
        <v>41.808</v>
      </c>
      <c r="M103" s="40">
        <v>54.002000000000002</v>
      </c>
      <c r="N103" s="40">
        <v>67.066999999999993</v>
      </c>
      <c r="O103" s="40">
        <v>80.132000000000005</v>
      </c>
      <c r="P103" s="40">
        <v>94.067999999999998</v>
      </c>
      <c r="Q103" s="40">
        <v>108.004</v>
      </c>
      <c r="R103" s="81">
        <f>54/62</f>
        <v>0.87096774193548387</v>
      </c>
    </row>
    <row r="107" spans="2:18" x14ac:dyDescent="0.2">
      <c r="F107" s="77">
        <f>(F116/F94)</f>
        <v>0.94017094017094027</v>
      </c>
      <c r="G107" s="77">
        <f t="shared" ref="G107:P107" si="58">(G116/G94)</f>
        <v>0.93150684931506844</v>
      </c>
      <c r="H107" s="77">
        <f t="shared" si="58"/>
        <v>0.91954022988505757</v>
      </c>
      <c r="I107" s="77">
        <f t="shared" si="58"/>
        <v>0.91794871794871791</v>
      </c>
      <c r="J107" s="77">
        <f t="shared" si="58"/>
        <v>0.90740740740740744</v>
      </c>
      <c r="K107" s="77">
        <f t="shared" si="58"/>
        <v>0.89</v>
      </c>
      <c r="L107" s="77">
        <f t="shared" si="58"/>
        <v>0.88995215311004794</v>
      </c>
      <c r="M107" s="77">
        <f t="shared" si="58"/>
        <v>0.88888888888888884</v>
      </c>
      <c r="N107" s="77">
        <f t="shared" si="58"/>
        <v>0.88971684053651279</v>
      </c>
      <c r="O107" s="77">
        <f t="shared" si="58"/>
        <v>0.88861386138613863</v>
      </c>
      <c r="P107" s="77">
        <f t="shared" si="58"/>
        <v>0.88947927736450594</v>
      </c>
      <c r="Q107" s="77">
        <f>(Q116/Q94)</f>
        <v>0.88888888888888884</v>
      </c>
    </row>
    <row r="108" spans="2:18" ht="15" x14ac:dyDescent="0.2">
      <c r="B108" s="18" t="s">
        <v>71</v>
      </c>
      <c r="E108" s="1" t="s">
        <v>13</v>
      </c>
      <c r="F108" s="1">
        <v>1</v>
      </c>
      <c r="G108" s="1">
        <v>2</v>
      </c>
      <c r="H108" s="1">
        <v>3</v>
      </c>
      <c r="I108" s="1">
        <v>4</v>
      </c>
      <c r="J108" s="1">
        <v>5</v>
      </c>
      <c r="K108" s="1">
        <v>10</v>
      </c>
      <c r="L108" s="1">
        <v>20</v>
      </c>
      <c r="M108" s="1">
        <v>30</v>
      </c>
      <c r="N108" s="1">
        <v>40</v>
      </c>
      <c r="O108" s="1">
        <v>50</v>
      </c>
      <c r="P108" s="1">
        <v>60</v>
      </c>
      <c r="Q108" s="1">
        <v>70</v>
      </c>
    </row>
    <row r="109" spans="2:18" ht="13.5" x14ac:dyDescent="0.2">
      <c r="B109" t="s">
        <v>72</v>
      </c>
      <c r="E109" s="9" t="s">
        <v>6</v>
      </c>
      <c r="F109" s="42">
        <f t="shared" ref="F109:Q109" si="59">F116/2</f>
        <v>5.5</v>
      </c>
      <c r="G109" s="42">
        <f t="shared" si="59"/>
        <v>6.8</v>
      </c>
      <c r="H109" s="43">
        <f t="shared" si="59"/>
        <v>8</v>
      </c>
      <c r="I109" s="42">
        <f t="shared" si="59"/>
        <v>8.9499999999999993</v>
      </c>
      <c r="J109" s="42">
        <f t="shared" si="59"/>
        <v>9.8000000000000007</v>
      </c>
      <c r="K109" s="43">
        <f t="shared" si="59"/>
        <v>13.35</v>
      </c>
      <c r="L109" s="42">
        <f t="shared" si="59"/>
        <v>18.600000000000001</v>
      </c>
      <c r="M109" s="42">
        <f t="shared" si="59"/>
        <v>24</v>
      </c>
      <c r="N109" s="43">
        <f t="shared" si="59"/>
        <v>29.85</v>
      </c>
      <c r="O109" s="42">
        <f t="shared" si="59"/>
        <v>35.9</v>
      </c>
      <c r="P109" s="42">
        <f t="shared" si="59"/>
        <v>41.85</v>
      </c>
      <c r="Q109" s="43">
        <f t="shared" si="59"/>
        <v>48</v>
      </c>
    </row>
    <row r="110" spans="2:18" ht="13.5" x14ac:dyDescent="0.2">
      <c r="E110" s="9" t="s">
        <v>7</v>
      </c>
      <c r="F110" s="42">
        <f t="shared" ref="F110:Q110" si="60">F117/2</f>
        <v>-2.4</v>
      </c>
      <c r="G110" s="42">
        <f t="shared" si="60"/>
        <v>-4.25</v>
      </c>
      <c r="H110" s="43">
        <f t="shared" si="60"/>
        <v>-6</v>
      </c>
      <c r="I110" s="42">
        <f t="shared" si="60"/>
        <v>-7.75</v>
      </c>
      <c r="J110" s="42">
        <f t="shared" si="60"/>
        <v>-9.5</v>
      </c>
      <c r="K110" s="43">
        <f t="shared" si="60"/>
        <v>-19.5</v>
      </c>
      <c r="L110" s="42">
        <f t="shared" si="60"/>
        <v>-40</v>
      </c>
      <c r="M110" s="42">
        <f t="shared" si="60"/>
        <v>-61</v>
      </c>
      <c r="N110" s="43">
        <f t="shared" si="60"/>
        <v>-82.5</v>
      </c>
      <c r="O110" s="42">
        <f t="shared" si="60"/>
        <v>-105</v>
      </c>
      <c r="P110" s="42">
        <f t="shared" si="60"/>
        <v>-128.5</v>
      </c>
      <c r="Q110" s="43">
        <f t="shared" si="60"/>
        <v>-152.5</v>
      </c>
    </row>
    <row r="111" spans="2:18" ht="13.5" x14ac:dyDescent="0.2">
      <c r="E111" s="49"/>
      <c r="F111" s="50"/>
      <c r="G111" s="52"/>
      <c r="H111" s="52"/>
      <c r="I111" s="52"/>
      <c r="J111" s="52"/>
      <c r="K111" s="52"/>
      <c r="L111" s="52"/>
      <c r="M111" s="52"/>
      <c r="N111" s="52"/>
      <c r="P111" s="52"/>
      <c r="Q111" s="52"/>
    </row>
    <row r="112" spans="2:18" ht="13.5" x14ac:dyDescent="0.2">
      <c r="E112" s="9" t="s">
        <v>6</v>
      </c>
      <c r="F112" s="42">
        <v>10.24</v>
      </c>
      <c r="G112" s="42">
        <v>12.58</v>
      </c>
      <c r="H112" s="43">
        <v>14.600000000000003</v>
      </c>
      <c r="I112" s="42">
        <v>16.28</v>
      </c>
      <c r="J112" s="42">
        <v>17.520000000000003</v>
      </c>
      <c r="K112" s="43">
        <v>22.179999999999996</v>
      </c>
      <c r="L112" s="42">
        <v>30.119999999999997</v>
      </c>
      <c r="M112" s="42">
        <v>38.61999999999999</v>
      </c>
      <c r="N112" s="43">
        <v>48.239999999999995</v>
      </c>
      <c r="O112" s="42">
        <v>58.839999999999996</v>
      </c>
      <c r="P112" s="42">
        <v>69.94</v>
      </c>
      <c r="Q112" s="43">
        <v>81.28</v>
      </c>
      <c r="R112" s="18" t="s">
        <v>35</v>
      </c>
    </row>
    <row r="113" spans="5:18" ht="13.5" x14ac:dyDescent="0.2">
      <c r="E113" s="9" t="s">
        <v>7</v>
      </c>
      <c r="F113" s="42">
        <v>-5.4399999999999995</v>
      </c>
      <c r="G113" s="42">
        <v>-8.14</v>
      </c>
      <c r="H113" s="43">
        <v>-11.200000000000001</v>
      </c>
      <c r="I113" s="42">
        <v>-14.4</v>
      </c>
      <c r="J113" s="42">
        <v>-18.259999999999998</v>
      </c>
      <c r="K113" s="43">
        <v>-37.14</v>
      </c>
      <c r="L113" s="42">
        <v>-73.98</v>
      </c>
      <c r="M113" s="42">
        <v>-110.92</v>
      </c>
      <c r="N113" s="43">
        <v>-148.58000000000001</v>
      </c>
      <c r="O113" s="42">
        <v>-187.88000000000005</v>
      </c>
      <c r="P113" s="42">
        <v>-226.7</v>
      </c>
      <c r="Q113" s="43">
        <v>-265.76</v>
      </c>
      <c r="R113" s="18" t="s">
        <v>30</v>
      </c>
    </row>
    <row r="114" spans="5:18" ht="15" x14ac:dyDescent="0.2">
      <c r="E114" s="8" t="s">
        <v>9</v>
      </c>
      <c r="F114" s="45">
        <v>0.88100000000000001</v>
      </c>
      <c r="G114" s="45">
        <v>0.65800000000000003</v>
      </c>
      <c r="H114" s="46">
        <v>0.60599999999999998</v>
      </c>
      <c r="I114" s="45">
        <v>0.58699999999999997</v>
      </c>
      <c r="J114" s="45">
        <v>0.59199999999999997</v>
      </c>
      <c r="K114" s="46">
        <v>0.6</v>
      </c>
      <c r="L114" s="45">
        <v>0.59800000000000009</v>
      </c>
      <c r="M114" s="45">
        <v>0.59599999999999997</v>
      </c>
      <c r="N114" s="46">
        <v>0.60100000000000009</v>
      </c>
      <c r="O114" s="45">
        <v>0.60400000000000009</v>
      </c>
      <c r="P114" s="45">
        <v>0.6090000000000001</v>
      </c>
      <c r="Q114" s="46">
        <v>0.61199999999999999</v>
      </c>
      <c r="R114" t="s">
        <v>28</v>
      </c>
    </row>
    <row r="115" spans="5:18" ht="15" x14ac:dyDescent="0.2">
      <c r="E115" s="1"/>
      <c r="F115" s="1">
        <v>1</v>
      </c>
      <c r="G115" s="1">
        <v>2</v>
      </c>
      <c r="H115" s="1">
        <v>3</v>
      </c>
      <c r="I115" s="1">
        <v>4</v>
      </c>
      <c r="J115" s="1">
        <v>5</v>
      </c>
      <c r="K115" s="1">
        <v>10</v>
      </c>
      <c r="L115" s="1">
        <v>20</v>
      </c>
      <c r="M115" s="1">
        <v>30</v>
      </c>
      <c r="N115" s="1">
        <v>40</v>
      </c>
      <c r="O115" s="1">
        <v>50</v>
      </c>
      <c r="P115" s="1">
        <v>60</v>
      </c>
      <c r="Q115" s="1">
        <v>70</v>
      </c>
      <c r="R115" s="18" t="s">
        <v>58</v>
      </c>
    </row>
    <row r="116" spans="5:18" ht="13.5" x14ac:dyDescent="0.2">
      <c r="E116" s="9" t="s">
        <v>6</v>
      </c>
      <c r="F116" s="64">
        <v>11</v>
      </c>
      <c r="G116" s="64">
        <v>13.6</v>
      </c>
      <c r="H116" s="65">
        <v>16</v>
      </c>
      <c r="I116" s="64">
        <v>17.899999999999999</v>
      </c>
      <c r="J116" s="64">
        <v>19.600000000000001</v>
      </c>
      <c r="K116" s="65">
        <v>26.7</v>
      </c>
      <c r="L116" s="64">
        <v>37.200000000000003</v>
      </c>
      <c r="M116" s="64">
        <v>48</v>
      </c>
      <c r="N116" s="65">
        <v>59.7</v>
      </c>
      <c r="O116" s="64">
        <v>71.8</v>
      </c>
      <c r="P116" s="64">
        <v>83.7</v>
      </c>
      <c r="Q116" s="65">
        <v>96</v>
      </c>
      <c r="R116" s="75" t="s">
        <v>75</v>
      </c>
    </row>
    <row r="117" spans="5:18" ht="13.5" x14ac:dyDescent="0.2">
      <c r="E117" s="76" t="s">
        <v>7</v>
      </c>
      <c r="F117" s="72">
        <v>-4.8</v>
      </c>
      <c r="G117" s="72">
        <v>-8.5</v>
      </c>
      <c r="H117" s="73">
        <v>-12</v>
      </c>
      <c r="I117" s="72">
        <v>-15.5</v>
      </c>
      <c r="J117" s="72">
        <v>-19</v>
      </c>
      <c r="K117" s="73">
        <v>-39</v>
      </c>
      <c r="L117" s="72">
        <v>-80</v>
      </c>
      <c r="M117" s="72">
        <v>-122</v>
      </c>
      <c r="N117" s="73">
        <v>-165</v>
      </c>
      <c r="O117" s="72">
        <v>-210</v>
      </c>
      <c r="P117" s="72">
        <v>-257</v>
      </c>
      <c r="Q117" s="73">
        <v>-305</v>
      </c>
      <c r="R117" s="71" t="s">
        <v>38</v>
      </c>
    </row>
    <row r="118" spans="5:18" ht="15" x14ac:dyDescent="0.2">
      <c r="E118" s="11" t="s">
        <v>8</v>
      </c>
      <c r="F118" s="44">
        <f>F117/F115</f>
        <v>-4.8</v>
      </c>
      <c r="G118" s="44">
        <f t="shared" ref="G118" si="61">G117/G115</f>
        <v>-4.25</v>
      </c>
      <c r="H118" s="44">
        <f t="shared" ref="H118" si="62">H117/H115</f>
        <v>-4</v>
      </c>
      <c r="I118" s="44">
        <f t="shared" ref="I118" si="63">I117/I115</f>
        <v>-3.875</v>
      </c>
      <c r="J118" s="44">
        <f t="shared" ref="J118" si="64">J117/J115</f>
        <v>-3.8</v>
      </c>
      <c r="K118" s="44">
        <f t="shared" ref="K118" si="65">K117/K115</f>
        <v>-3.9</v>
      </c>
      <c r="L118" s="44">
        <f t="shared" ref="L118" si="66">L117/L115</f>
        <v>-4</v>
      </c>
      <c r="M118" s="44">
        <f t="shared" ref="M118" si="67">M117/M115</f>
        <v>-4.0666666666666664</v>
      </c>
      <c r="N118" s="44">
        <f t="shared" ref="N118" si="68">N117/N115</f>
        <v>-4.125</v>
      </c>
      <c r="O118" s="44">
        <f t="shared" ref="O118" si="69">O117/O115</f>
        <v>-4.2</v>
      </c>
      <c r="P118" s="44">
        <f t="shared" ref="P118" si="70">P117/P115</f>
        <v>-4.2833333333333332</v>
      </c>
      <c r="Q118" s="44">
        <f t="shared" ref="Q118" si="71">Q117/Q115</f>
        <v>-4.3571428571428568</v>
      </c>
    </row>
    <row r="119" spans="5:18" ht="15" x14ac:dyDescent="0.2">
      <c r="E119" s="8" t="s">
        <v>9</v>
      </c>
      <c r="F119" s="45">
        <f>SQRT(12*32.2*F118^2/(4*$F$11*($F$10*56)*$F$12^2))</f>
        <v>0.77543999738373293</v>
      </c>
      <c r="G119" s="45">
        <f t="shared" ref="G119" si="72">SQRT(12*32.2*G118^2/(4*$F$11*($F$10*56)*$F$12^2))</f>
        <v>0.68658749768351357</v>
      </c>
      <c r="H119" s="46">
        <f t="shared" ref="H119" si="73">SQRT(12*32.2*H118^2/(4*$F$11*($F$10*56)*$F$12^2))</f>
        <v>0.64619999781977744</v>
      </c>
      <c r="I119" s="45">
        <f t="shared" ref="I119" si="74">SQRT(12*32.2*I118^2/(4*$F$11*($F$10*56)*$F$12^2))</f>
        <v>0.62600624788790937</v>
      </c>
      <c r="J119" s="45">
        <f t="shared" ref="J119" si="75">SQRT(12*32.2*J118^2/(4*$F$11*($F$10*56)*$F$12^2))</f>
        <v>0.61388999792878851</v>
      </c>
      <c r="K119" s="46">
        <f t="shared" ref="K119" si="76">SQRT(12*32.2*K118^2/(4*$F$11*($F$10*56)*$F$12^2))</f>
        <v>0.63004499787428303</v>
      </c>
      <c r="L119" s="45">
        <f t="shared" ref="L119" si="77">SQRT(12*32.2*L118^2/(4*$F$11*($F$10*56)*$F$12^2))</f>
        <v>0.64619999781977744</v>
      </c>
      <c r="M119" s="45">
        <f t="shared" ref="M119" si="78">SQRT(12*32.2*M118^2/(4*$F$11*($F$10*56)*$F$12^2))</f>
        <v>0.65696999778344034</v>
      </c>
      <c r="N119" s="46">
        <f t="shared" ref="N119" si="79">SQRT(12*32.2*N118^2/(4*$F$11*($F$10*56)*$F$12^2))</f>
        <v>0.6663937477516455</v>
      </c>
      <c r="O119" s="45">
        <f t="shared" ref="O119" si="80">SQRT(12*32.2*O118^2/(4*$F$11*($F$10*56)*$F$12^2))</f>
        <v>0.67850999771076637</v>
      </c>
      <c r="P119" s="45">
        <f t="shared" ref="P119" si="81">SQRT(12*32.2*P118^2/(4*$F$11*($F$10*56)*$F$12^2))</f>
        <v>0.69197249766534497</v>
      </c>
      <c r="Q119" s="46">
        <f t="shared" ref="Q119" si="82">SQRT(12*32.2*Q118^2/(4*$F$11*($F$10*56)*$F$12^2))</f>
        <v>0.70389642619654325</v>
      </c>
      <c r="R119" s="71" t="s">
        <v>39</v>
      </c>
    </row>
    <row r="120" spans="5:18" ht="15" x14ac:dyDescent="0.2">
      <c r="E120" s="14" t="s">
        <v>10</v>
      </c>
      <c r="F120" s="47">
        <f>(F117/F116)*-1</f>
        <v>0.43636363636363634</v>
      </c>
      <c r="G120" s="47">
        <f t="shared" ref="G120:Q120" si="83">(G117/G116)*-1</f>
        <v>0.625</v>
      </c>
      <c r="H120" s="48">
        <f t="shared" si="83"/>
        <v>0.75</v>
      </c>
      <c r="I120" s="47">
        <f t="shared" si="83"/>
        <v>0.86592178770949724</v>
      </c>
      <c r="J120" s="47">
        <f t="shared" si="83"/>
        <v>0.96938775510204078</v>
      </c>
      <c r="K120" s="48">
        <f t="shared" si="83"/>
        <v>1.4606741573033708</v>
      </c>
      <c r="L120" s="47">
        <f t="shared" si="83"/>
        <v>2.150537634408602</v>
      </c>
      <c r="M120" s="47">
        <f t="shared" si="83"/>
        <v>2.5416666666666665</v>
      </c>
      <c r="N120" s="48">
        <f t="shared" si="83"/>
        <v>2.7638190954773867</v>
      </c>
      <c r="O120" s="47">
        <f t="shared" si="83"/>
        <v>2.9247910863509752</v>
      </c>
      <c r="P120" s="47">
        <f t="shared" si="83"/>
        <v>3.0704898446833928</v>
      </c>
      <c r="Q120" s="48">
        <f t="shared" si="83"/>
        <v>3.1770833333333335</v>
      </c>
      <c r="R120" s="39"/>
    </row>
    <row r="121" spans="5:18" x14ac:dyDescent="0.2">
      <c r="G121" s="78">
        <f>G120/F120</f>
        <v>1.4322916666666667</v>
      </c>
      <c r="H121" s="78">
        <f t="shared" ref="H121" si="84">H120/G120</f>
        <v>1.2</v>
      </c>
      <c r="I121" s="78">
        <f t="shared" ref="I121" si="85">I120/H120</f>
        <v>1.1545623836126631</v>
      </c>
      <c r="J121" s="78">
        <f>J120/I120</f>
        <v>1.1194865042791309</v>
      </c>
      <c r="K121" s="78">
        <f t="shared" ref="K121" si="86">K120/J120</f>
        <v>1.5068007096392668</v>
      </c>
      <c r="L121" s="78">
        <f t="shared" ref="L121" si="87">L120/K120</f>
        <v>1.4722911497105045</v>
      </c>
      <c r="M121" s="78">
        <f t="shared" ref="M121" si="88">M120/L120</f>
        <v>1.181875</v>
      </c>
      <c r="N121" s="78">
        <f t="shared" ref="N121" si="89">N120/M120</f>
        <v>1.0874042342861849</v>
      </c>
      <c r="O121" s="78">
        <f t="shared" ref="O121" si="90">O120/N120</f>
        <v>1.0582425930615347</v>
      </c>
      <c r="P121" s="78">
        <f t="shared" ref="P121" si="91">P120/O120</f>
        <v>1.0498150992774646</v>
      </c>
      <c r="Q121" s="78">
        <f t="shared" ref="Q121" si="92">Q120/P120</f>
        <v>1.0347154669260701</v>
      </c>
    </row>
    <row r="122" spans="5:18" x14ac:dyDescent="0.2">
      <c r="G122" s="74">
        <f>G120-F120</f>
        <v>0.18863636363636366</v>
      </c>
      <c r="H122" s="74">
        <f t="shared" ref="H122:J122" si="93">H120-G120</f>
        <v>0.125</v>
      </c>
      <c r="I122" s="74">
        <f t="shared" si="93"/>
        <v>0.11592178770949724</v>
      </c>
      <c r="J122" s="74">
        <f t="shared" si="93"/>
        <v>0.10346596739254355</v>
      </c>
      <c r="K122" s="74">
        <f>(K120-J120)/5</f>
        <v>9.8257280440266007E-2</v>
      </c>
      <c r="L122" s="74">
        <f>(L120-K120)/10</f>
        <v>6.8986347710523116E-2</v>
      </c>
      <c r="M122" s="74">
        <f t="shared" ref="M122:Q122" si="94">(M120-L120)/10</f>
        <v>3.9112903225806447E-2</v>
      </c>
      <c r="N122" s="74">
        <f t="shared" si="94"/>
        <v>2.2215242881072017E-2</v>
      </c>
      <c r="O122" s="74">
        <f t="shared" si="94"/>
        <v>1.6097199087358849E-2</v>
      </c>
      <c r="P122" s="74">
        <f t="shared" si="94"/>
        <v>1.4569875833241763E-2</v>
      </c>
      <c r="Q122" s="74">
        <f t="shared" si="94"/>
        <v>1.0659348864994067E-2</v>
      </c>
    </row>
    <row r="123" spans="5:18" x14ac:dyDescent="0.2">
      <c r="G123" s="74">
        <f>G120-F120</f>
        <v>0.18863636363636366</v>
      </c>
      <c r="H123" s="74">
        <f t="shared" ref="H123:Q123" si="95">H120-G120</f>
        <v>0.125</v>
      </c>
      <c r="I123" s="74">
        <f t="shared" si="95"/>
        <v>0.11592178770949724</v>
      </c>
      <c r="J123" s="74">
        <f t="shared" si="95"/>
        <v>0.10346596739254355</v>
      </c>
      <c r="K123" s="74">
        <f t="shared" si="95"/>
        <v>0.49128640220133002</v>
      </c>
      <c r="L123" s="74">
        <f t="shared" si="95"/>
        <v>0.68986347710523122</v>
      </c>
      <c r="M123" s="74">
        <f t="shared" si="95"/>
        <v>0.3911290322580645</v>
      </c>
      <c r="N123" s="74">
        <f t="shared" si="95"/>
        <v>0.22215242881072017</v>
      </c>
      <c r="O123" s="74">
        <f t="shared" si="95"/>
        <v>0.16097199087358849</v>
      </c>
      <c r="P123" s="74">
        <f t="shared" si="95"/>
        <v>0.14569875833241763</v>
      </c>
      <c r="Q123" s="74">
        <f t="shared" si="95"/>
        <v>0.10659348864994067</v>
      </c>
    </row>
    <row r="125" spans="5:18" x14ac:dyDescent="0.2">
      <c r="K125" s="40">
        <v>26.67</v>
      </c>
      <c r="L125" s="40">
        <v>37.160199999999996</v>
      </c>
      <c r="M125" s="40">
        <v>48.006</v>
      </c>
      <c r="N125" s="40">
        <v>59.651899999999998</v>
      </c>
      <c r="O125" s="40">
        <v>71.831199999999995</v>
      </c>
      <c r="P125" s="40">
        <v>83.654899999999998</v>
      </c>
      <c r="Q125" s="40">
        <v>96.012</v>
      </c>
      <c r="R125" s="81">
        <f>48/54</f>
        <v>0.88888888888888884</v>
      </c>
    </row>
    <row r="129" spans="2:5" x14ac:dyDescent="0.2">
      <c r="E129" s="82">
        <v>-4</v>
      </c>
    </row>
    <row r="130" spans="2:5" x14ac:dyDescent="0.2">
      <c r="E130" s="82">
        <v>38</v>
      </c>
    </row>
    <row r="131" spans="2:5" x14ac:dyDescent="0.2">
      <c r="E131" s="82"/>
    </row>
    <row r="132" spans="2:5" x14ac:dyDescent="0.2">
      <c r="B132">
        <v>1</v>
      </c>
      <c r="C132">
        <v>34</v>
      </c>
      <c r="D132">
        <v>1</v>
      </c>
      <c r="E132" s="83">
        <f>($E$129*D132)+($E$130)</f>
        <v>34</v>
      </c>
    </row>
    <row r="133" spans="2:5" x14ac:dyDescent="0.2">
      <c r="B133">
        <v>4</v>
      </c>
      <c r="C133">
        <v>22</v>
      </c>
      <c r="D133">
        <v>2</v>
      </c>
      <c r="E133" s="83">
        <f>($E$129*D133)+($E$130)</f>
        <v>30</v>
      </c>
    </row>
    <row r="134" spans="2:5" x14ac:dyDescent="0.2">
      <c r="D134">
        <v>3</v>
      </c>
      <c r="E134" s="83">
        <f>($E$129*D134)+($E$130)</f>
        <v>26</v>
      </c>
    </row>
    <row r="135" spans="2:5" x14ac:dyDescent="0.2">
      <c r="D135">
        <v>4</v>
      </c>
      <c r="E135" s="83">
        <f>($E$129*D135)+($E$130)</f>
        <v>22</v>
      </c>
    </row>
    <row r="136" spans="2:5" x14ac:dyDescent="0.2">
      <c r="E136" s="82"/>
    </row>
    <row r="151" spans="1:17" ht="13.5" thickBot="1" x14ac:dyDescent="0.25">
      <c r="A151" s="84"/>
      <c r="B151" s="84"/>
      <c r="C151" s="84"/>
      <c r="D151" s="84"/>
      <c r="E151" s="84"/>
      <c r="F151" s="84"/>
      <c r="G151" s="84"/>
      <c r="H151" s="84"/>
      <c r="I151" s="84"/>
      <c r="J151" s="84"/>
      <c r="K151" s="84"/>
      <c r="L151" s="84"/>
      <c r="M151" s="84"/>
      <c r="N151" s="84"/>
      <c r="O151" s="84"/>
      <c r="P151" s="84"/>
      <c r="Q151" s="84"/>
    </row>
    <row r="153" spans="1:17" x14ac:dyDescent="0.2">
      <c r="B153" t="s">
        <v>59</v>
      </c>
    </row>
    <row r="154" spans="1:17" x14ac:dyDescent="0.2">
      <c r="B154" t="s">
        <v>60</v>
      </c>
    </row>
    <row r="158" spans="1:17" ht="15" x14ac:dyDescent="0.2">
      <c r="E158" s="1" t="s">
        <v>13</v>
      </c>
      <c r="F158" s="1">
        <v>1</v>
      </c>
      <c r="G158" s="1">
        <v>2</v>
      </c>
      <c r="H158" s="1">
        <v>3</v>
      </c>
      <c r="I158" s="1">
        <v>4</v>
      </c>
      <c r="J158" s="1">
        <v>5</v>
      </c>
      <c r="K158" s="1">
        <v>10</v>
      </c>
      <c r="L158" s="1">
        <v>20</v>
      </c>
      <c r="M158" s="1">
        <v>30</v>
      </c>
      <c r="N158" s="1">
        <v>40</v>
      </c>
      <c r="O158" s="1">
        <v>50</v>
      </c>
      <c r="P158" s="1">
        <v>60</v>
      </c>
      <c r="Q158" s="1">
        <v>70</v>
      </c>
    </row>
    <row r="159" spans="1:17" ht="13.5" x14ac:dyDescent="0.2">
      <c r="E159" s="9" t="s">
        <v>6</v>
      </c>
      <c r="F159" s="42">
        <v>5.12</v>
      </c>
      <c r="G159" s="42">
        <v>6.29</v>
      </c>
      <c r="H159" s="43">
        <v>7.3</v>
      </c>
      <c r="I159" s="42">
        <v>8.1</v>
      </c>
      <c r="J159" s="42">
        <v>8.8000000000000007</v>
      </c>
      <c r="K159" s="43">
        <v>11</v>
      </c>
      <c r="L159" s="42">
        <v>16</v>
      </c>
      <c r="M159" s="42">
        <v>21</v>
      </c>
      <c r="N159" s="43">
        <v>26</v>
      </c>
      <c r="O159" s="42">
        <v>31.1</v>
      </c>
      <c r="P159" s="42">
        <v>36.200000000000003</v>
      </c>
      <c r="Q159" s="43">
        <v>41.4</v>
      </c>
    </row>
    <row r="160" spans="1:17" ht="13.5" x14ac:dyDescent="0.2">
      <c r="E160" s="9" t="s">
        <v>7</v>
      </c>
      <c r="F160" s="42">
        <v>-2.4</v>
      </c>
      <c r="G160" s="42">
        <v>-4.25</v>
      </c>
      <c r="H160" s="43">
        <v>-6</v>
      </c>
      <c r="I160" s="42">
        <v>-7.75</v>
      </c>
      <c r="J160" s="42">
        <v>-9.5</v>
      </c>
      <c r="K160" s="43">
        <v>-19.5</v>
      </c>
      <c r="L160" s="42">
        <v>-40</v>
      </c>
      <c r="M160" s="42">
        <v>-61</v>
      </c>
      <c r="N160" s="43">
        <v>-82.5</v>
      </c>
      <c r="O160" s="42">
        <v>-105</v>
      </c>
      <c r="P160" s="42">
        <v>-128.5</v>
      </c>
      <c r="Q160" s="43">
        <v>-152.5</v>
      </c>
    </row>
    <row r="161" spans="5:18" ht="13.5" x14ac:dyDescent="0.2">
      <c r="E161" s="49"/>
      <c r="F161" s="50"/>
      <c r="G161" s="52"/>
      <c r="H161" s="52"/>
      <c r="I161" s="52"/>
      <c r="J161" s="52"/>
      <c r="K161" s="52"/>
      <c r="L161" s="52"/>
      <c r="M161" s="52"/>
      <c r="N161" s="52"/>
      <c r="P161" s="52"/>
      <c r="Q161" s="52"/>
    </row>
    <row r="162" spans="5:18" ht="15" x14ac:dyDescent="0.2">
      <c r="E162" s="1"/>
      <c r="F162" s="1">
        <v>1</v>
      </c>
      <c r="G162" s="1">
        <v>2</v>
      </c>
      <c r="H162" s="1">
        <v>3</v>
      </c>
      <c r="I162" s="1">
        <v>4</v>
      </c>
      <c r="J162" s="1">
        <v>5</v>
      </c>
      <c r="K162" s="1">
        <v>10</v>
      </c>
      <c r="L162" s="1">
        <v>20</v>
      </c>
      <c r="M162" s="1">
        <v>30</v>
      </c>
      <c r="N162" s="1">
        <v>40</v>
      </c>
      <c r="O162" s="1">
        <v>50</v>
      </c>
      <c r="P162" s="1">
        <v>60</v>
      </c>
      <c r="Q162" s="1">
        <v>70</v>
      </c>
    </row>
    <row r="163" spans="5:18" ht="13.5" x14ac:dyDescent="0.2">
      <c r="E163" s="9" t="s">
        <v>6</v>
      </c>
      <c r="F163" s="64">
        <v>10.24</v>
      </c>
      <c r="G163" s="64">
        <v>12.58</v>
      </c>
      <c r="H163" s="65">
        <v>14.6</v>
      </c>
      <c r="I163" s="64">
        <v>16.2</v>
      </c>
      <c r="J163" s="64">
        <v>17.600000000000001</v>
      </c>
      <c r="K163" s="65">
        <v>22</v>
      </c>
      <c r="L163" s="64">
        <v>32</v>
      </c>
      <c r="M163" s="64">
        <v>42</v>
      </c>
      <c r="N163" s="65">
        <v>52</v>
      </c>
      <c r="O163" s="64">
        <v>62.2</v>
      </c>
      <c r="P163" s="64">
        <v>72.400000000000006</v>
      </c>
      <c r="Q163" s="65">
        <v>82.8</v>
      </c>
      <c r="R163" t="s">
        <v>77</v>
      </c>
    </row>
    <row r="164" spans="5:18" ht="13.5" x14ac:dyDescent="0.2">
      <c r="E164" s="76" t="s">
        <v>7</v>
      </c>
      <c r="F164" s="72">
        <v>-4.8</v>
      </c>
      <c r="G164" s="72">
        <v>-8.5</v>
      </c>
      <c r="H164" s="73">
        <v>-12</v>
      </c>
      <c r="I164" s="72">
        <v>-15.5</v>
      </c>
      <c r="J164" s="72">
        <v>-19</v>
      </c>
      <c r="K164" s="73">
        <v>-39</v>
      </c>
      <c r="L164" s="72">
        <v>-80</v>
      </c>
      <c r="M164" s="72">
        <v>-122</v>
      </c>
      <c r="N164" s="73">
        <v>-165</v>
      </c>
      <c r="O164" s="72">
        <v>-210</v>
      </c>
      <c r="P164" s="72">
        <v>-257</v>
      </c>
      <c r="Q164" s="73">
        <v>-305</v>
      </c>
    </row>
    <row r="165" spans="5:18" ht="15" x14ac:dyDescent="0.2">
      <c r="E165" s="11" t="s">
        <v>8</v>
      </c>
      <c r="F165" s="44">
        <v>-4.8</v>
      </c>
      <c r="G165" s="44">
        <v>-4.25</v>
      </c>
      <c r="H165" s="44">
        <v>-4</v>
      </c>
      <c r="I165" s="44">
        <v>-3.875</v>
      </c>
      <c r="J165" s="44">
        <v>-3.8</v>
      </c>
      <c r="K165" s="44">
        <v>-3.9</v>
      </c>
      <c r="L165" s="44">
        <v>-4</v>
      </c>
      <c r="M165" s="44">
        <v>-4.0666666666666664</v>
      </c>
      <c r="N165" s="44">
        <v>-4.125</v>
      </c>
      <c r="O165" s="44">
        <v>-4.2</v>
      </c>
      <c r="P165" s="44">
        <v>-4.2833333333333332</v>
      </c>
      <c r="Q165" s="44">
        <v>-4.3571428571428568</v>
      </c>
    </row>
    <row r="166" spans="5:18" ht="15" x14ac:dyDescent="0.2">
      <c r="E166" s="8" t="s">
        <v>9</v>
      </c>
      <c r="F166" s="45">
        <v>0.77543999738373293</v>
      </c>
      <c r="G166" s="45">
        <v>0.68658749768351357</v>
      </c>
      <c r="H166" s="46">
        <v>0.64619999781977744</v>
      </c>
      <c r="I166" s="45">
        <v>0.62600624788790937</v>
      </c>
      <c r="J166" s="45">
        <v>0.61388999792878851</v>
      </c>
      <c r="K166" s="46">
        <v>0.63004499787428303</v>
      </c>
      <c r="L166" s="45">
        <v>0.64619999781977744</v>
      </c>
      <c r="M166" s="45">
        <v>0.65696999778344034</v>
      </c>
      <c r="N166" s="46">
        <v>0.6663937477516455</v>
      </c>
      <c r="O166" s="45">
        <v>0.67850999771076637</v>
      </c>
      <c r="P166" s="45">
        <v>0.69197249766534497</v>
      </c>
      <c r="Q166" s="46">
        <v>0.70389642619654325</v>
      </c>
    </row>
    <row r="167" spans="5:18" ht="15" x14ac:dyDescent="0.2">
      <c r="E167" s="14" t="s">
        <v>10</v>
      </c>
      <c r="F167" s="47">
        <v>0.46875</v>
      </c>
      <c r="G167" s="47">
        <v>0.67567567567567566</v>
      </c>
      <c r="H167" s="48">
        <v>0.82191780821917815</v>
      </c>
      <c r="I167" s="47">
        <v>0.95679012345679015</v>
      </c>
      <c r="J167" s="47">
        <v>1.0795454545454544</v>
      </c>
      <c r="K167" s="48">
        <v>1.7727272727272727</v>
      </c>
      <c r="L167" s="47">
        <v>2.5</v>
      </c>
      <c r="M167" s="47">
        <v>2.9047619047619047</v>
      </c>
      <c r="N167" s="48">
        <v>3.1730769230769229</v>
      </c>
      <c r="O167" s="47">
        <v>3.3762057877813505</v>
      </c>
      <c r="P167" s="47">
        <v>3.5497237569060771</v>
      </c>
      <c r="Q167" s="48">
        <v>3.6835748792270531</v>
      </c>
    </row>
    <row r="170" spans="5:18" ht="15" x14ac:dyDescent="0.2">
      <c r="E170" s="1" t="s">
        <v>13</v>
      </c>
      <c r="F170" s="1">
        <v>1</v>
      </c>
      <c r="G170" s="1">
        <v>2</v>
      </c>
      <c r="H170" s="1">
        <v>3</v>
      </c>
      <c r="I170" s="1">
        <v>4</v>
      </c>
      <c r="J170" s="1">
        <v>5</v>
      </c>
      <c r="K170" s="1">
        <v>10</v>
      </c>
      <c r="L170" s="1">
        <v>20</v>
      </c>
      <c r="M170" s="1">
        <v>30</v>
      </c>
      <c r="N170" s="1">
        <v>40</v>
      </c>
      <c r="O170" s="1">
        <v>50</v>
      </c>
      <c r="P170" s="1">
        <v>60</v>
      </c>
      <c r="Q170" s="1">
        <v>70</v>
      </c>
    </row>
    <row r="171" spans="5:18" ht="13.5" x14ac:dyDescent="0.2">
      <c r="E171" s="9" t="s">
        <v>6</v>
      </c>
      <c r="F171" s="42">
        <v>5.5</v>
      </c>
      <c r="G171" s="42">
        <v>6.8</v>
      </c>
      <c r="H171" s="43">
        <v>8</v>
      </c>
      <c r="I171" s="42">
        <v>8.9499999999999993</v>
      </c>
      <c r="J171" s="42">
        <v>9.8000000000000007</v>
      </c>
      <c r="K171" s="43">
        <v>13.35</v>
      </c>
      <c r="L171" s="42">
        <v>18.600000000000001</v>
      </c>
      <c r="M171" s="42">
        <v>24</v>
      </c>
      <c r="N171" s="43">
        <v>29.85</v>
      </c>
      <c r="O171" s="42">
        <v>35.9</v>
      </c>
      <c r="P171" s="42">
        <v>41.85</v>
      </c>
      <c r="Q171" s="43">
        <v>48</v>
      </c>
    </row>
    <row r="172" spans="5:18" ht="13.5" x14ac:dyDescent="0.2">
      <c r="E172" s="9" t="s">
        <v>7</v>
      </c>
      <c r="F172" s="42">
        <v>-2.4</v>
      </c>
      <c r="G172" s="42">
        <v>-4.25</v>
      </c>
      <c r="H172" s="43">
        <v>-6</v>
      </c>
      <c r="I172" s="42">
        <v>-7.75</v>
      </c>
      <c r="J172" s="42">
        <v>-9.5</v>
      </c>
      <c r="K172" s="43">
        <v>-19.5</v>
      </c>
      <c r="L172" s="42">
        <v>-40</v>
      </c>
      <c r="M172" s="42">
        <v>-61</v>
      </c>
      <c r="N172" s="43">
        <v>-82.5</v>
      </c>
      <c r="O172" s="42">
        <v>-105</v>
      </c>
      <c r="P172" s="42">
        <v>-128.5</v>
      </c>
      <c r="Q172" s="43">
        <v>-152.5</v>
      </c>
    </row>
    <row r="173" spans="5:18" ht="13.5" x14ac:dyDescent="0.2">
      <c r="E173" s="49"/>
      <c r="F173" s="50"/>
      <c r="G173" s="52"/>
      <c r="H173" s="52"/>
      <c r="I173" s="52"/>
      <c r="J173" s="52"/>
      <c r="K173" s="52"/>
      <c r="L173" s="52"/>
      <c r="M173" s="52"/>
      <c r="N173" s="52"/>
      <c r="P173" s="52"/>
      <c r="Q173" s="52"/>
    </row>
    <row r="174" spans="5:18" ht="15" x14ac:dyDescent="0.2">
      <c r="E174" s="1"/>
      <c r="F174" s="1">
        <v>1</v>
      </c>
      <c r="G174" s="1">
        <v>2</v>
      </c>
      <c r="H174" s="1">
        <v>3</v>
      </c>
      <c r="I174" s="1">
        <v>4</v>
      </c>
      <c r="J174" s="1">
        <v>5</v>
      </c>
      <c r="K174" s="1">
        <v>10</v>
      </c>
      <c r="L174" s="1">
        <v>20</v>
      </c>
      <c r="M174" s="1">
        <v>30</v>
      </c>
      <c r="N174" s="1">
        <v>40</v>
      </c>
      <c r="O174" s="1">
        <v>50</v>
      </c>
      <c r="P174" s="1">
        <v>60</v>
      </c>
      <c r="Q174" s="1">
        <v>70</v>
      </c>
    </row>
    <row r="175" spans="5:18" ht="13.5" x14ac:dyDescent="0.2">
      <c r="E175" s="9" t="s">
        <v>6</v>
      </c>
      <c r="F175" s="64">
        <v>11</v>
      </c>
      <c r="G175" s="64">
        <v>13.6</v>
      </c>
      <c r="H175" s="65">
        <v>16</v>
      </c>
      <c r="I175" s="64">
        <v>17.899999999999999</v>
      </c>
      <c r="J175" s="64">
        <v>19.600000000000001</v>
      </c>
      <c r="K175" s="65">
        <v>26.7</v>
      </c>
      <c r="L175" s="64">
        <v>37.200000000000003</v>
      </c>
      <c r="M175" s="64">
        <v>48</v>
      </c>
      <c r="N175" s="65">
        <v>59.7</v>
      </c>
      <c r="O175" s="64">
        <v>71.8</v>
      </c>
      <c r="P175" s="64">
        <v>83.7</v>
      </c>
      <c r="Q175" s="65">
        <v>96</v>
      </c>
      <c r="R175" t="s">
        <v>58</v>
      </c>
    </row>
    <row r="176" spans="5:18" ht="13.5" x14ac:dyDescent="0.2">
      <c r="E176" s="76" t="s">
        <v>7</v>
      </c>
      <c r="F176" s="72">
        <v>-4.8</v>
      </c>
      <c r="G176" s="72">
        <v>-8.5</v>
      </c>
      <c r="H176" s="73">
        <v>-12</v>
      </c>
      <c r="I176" s="72">
        <v>-15.5</v>
      </c>
      <c r="J176" s="72">
        <v>-19</v>
      </c>
      <c r="K176" s="73">
        <v>-39</v>
      </c>
      <c r="L176" s="72">
        <v>-80</v>
      </c>
      <c r="M176" s="72">
        <v>-122</v>
      </c>
      <c r="N176" s="73">
        <v>-165</v>
      </c>
      <c r="O176" s="72">
        <v>-210</v>
      </c>
      <c r="P176" s="72">
        <v>-257</v>
      </c>
      <c r="Q176" s="73">
        <v>-305</v>
      </c>
    </row>
    <row r="177" spans="5:18" ht="15" x14ac:dyDescent="0.2">
      <c r="E177" s="11" t="s">
        <v>8</v>
      </c>
      <c r="F177" s="44">
        <v>-4.8</v>
      </c>
      <c r="G177" s="44">
        <v>-4.25</v>
      </c>
      <c r="H177" s="44">
        <v>-4</v>
      </c>
      <c r="I177" s="44">
        <v>-3.875</v>
      </c>
      <c r="J177" s="44">
        <v>-3.8</v>
      </c>
      <c r="K177" s="44">
        <v>-3.9</v>
      </c>
      <c r="L177" s="44">
        <v>-4</v>
      </c>
      <c r="M177" s="44">
        <v>-4.0666666666666664</v>
      </c>
      <c r="N177" s="44">
        <v>-4.125</v>
      </c>
      <c r="O177" s="44">
        <v>-4.2</v>
      </c>
      <c r="P177" s="44">
        <v>-4.2833333333333332</v>
      </c>
      <c r="Q177" s="44">
        <v>-4.3571428571428568</v>
      </c>
    </row>
    <row r="178" spans="5:18" ht="15" x14ac:dyDescent="0.2">
      <c r="E178" s="8" t="s">
        <v>9</v>
      </c>
      <c r="F178" s="45">
        <v>0.77543999738373293</v>
      </c>
      <c r="G178" s="45">
        <v>0.68658749768351357</v>
      </c>
      <c r="H178" s="46">
        <v>0.64619999781977744</v>
      </c>
      <c r="I178" s="45">
        <v>0.62600624788790937</v>
      </c>
      <c r="J178" s="45">
        <v>0.61388999792878851</v>
      </c>
      <c r="K178" s="46">
        <v>0.63004499787428303</v>
      </c>
      <c r="L178" s="45">
        <v>0.64619999781977744</v>
      </c>
      <c r="M178" s="45">
        <v>0.65696999778344034</v>
      </c>
      <c r="N178" s="46">
        <v>0.6663937477516455</v>
      </c>
      <c r="O178" s="45">
        <v>0.67850999771076637</v>
      </c>
      <c r="P178" s="45">
        <v>0.69197249766534497</v>
      </c>
      <c r="Q178" s="46">
        <v>0.70389642619654325</v>
      </c>
    </row>
    <row r="179" spans="5:18" ht="15" x14ac:dyDescent="0.2">
      <c r="E179" s="14" t="s">
        <v>10</v>
      </c>
      <c r="F179" s="47">
        <v>0.43636363636363634</v>
      </c>
      <c r="G179" s="47">
        <v>0.625</v>
      </c>
      <c r="H179" s="48">
        <v>0.75</v>
      </c>
      <c r="I179" s="47">
        <v>0.86592178770949724</v>
      </c>
      <c r="J179" s="47">
        <v>0.96938775510204078</v>
      </c>
      <c r="K179" s="48">
        <v>1.4606741573033708</v>
      </c>
      <c r="L179" s="47">
        <v>2.150537634408602</v>
      </c>
      <c r="M179" s="47">
        <v>2.5416666666666665</v>
      </c>
      <c r="N179" s="48">
        <v>2.7638190954773867</v>
      </c>
      <c r="O179" s="47">
        <v>2.9247910863509752</v>
      </c>
      <c r="P179" s="47">
        <v>3.0704898446833928</v>
      </c>
      <c r="Q179" s="48">
        <v>3.1770833333333335</v>
      </c>
    </row>
    <row r="182" spans="5:18" ht="15" x14ac:dyDescent="0.2">
      <c r="E182" s="1" t="s">
        <v>13</v>
      </c>
      <c r="F182" s="1">
        <v>1</v>
      </c>
      <c r="G182" s="1">
        <v>2</v>
      </c>
      <c r="H182" s="1">
        <v>3</v>
      </c>
      <c r="I182" s="1">
        <v>4</v>
      </c>
      <c r="J182" s="1">
        <v>5</v>
      </c>
      <c r="K182" s="1">
        <v>10</v>
      </c>
      <c r="L182" s="1">
        <v>20</v>
      </c>
      <c r="M182" s="1">
        <v>30</v>
      </c>
      <c r="N182" s="1">
        <v>40</v>
      </c>
      <c r="O182" s="1">
        <v>50</v>
      </c>
      <c r="P182" s="1">
        <v>60</v>
      </c>
      <c r="Q182" s="1">
        <v>70</v>
      </c>
    </row>
    <row r="183" spans="5:18" ht="13.5" x14ac:dyDescent="0.2">
      <c r="E183" s="9" t="s">
        <v>6</v>
      </c>
      <c r="F183" s="42">
        <v>5.85</v>
      </c>
      <c r="G183" s="42">
        <v>7.3</v>
      </c>
      <c r="H183" s="43">
        <v>8.6999999999999993</v>
      </c>
      <c r="I183" s="42">
        <v>9.75</v>
      </c>
      <c r="J183" s="42">
        <v>10.8</v>
      </c>
      <c r="K183" s="43">
        <v>15</v>
      </c>
      <c r="L183" s="42">
        <v>20.9</v>
      </c>
      <c r="M183" s="42">
        <v>27</v>
      </c>
      <c r="N183" s="43">
        <v>33.549999999999997</v>
      </c>
      <c r="O183" s="42">
        <v>40.4</v>
      </c>
      <c r="P183" s="42">
        <v>47.05</v>
      </c>
      <c r="Q183" s="43">
        <v>54</v>
      </c>
    </row>
    <row r="184" spans="5:18" ht="13.5" x14ac:dyDescent="0.2">
      <c r="E184" s="9" t="s">
        <v>7</v>
      </c>
      <c r="F184" s="42">
        <v>-2.4</v>
      </c>
      <c r="G184" s="42">
        <v>-4.25</v>
      </c>
      <c r="H184" s="43">
        <v>-6</v>
      </c>
      <c r="I184" s="42">
        <v>-7.75</v>
      </c>
      <c r="J184" s="42">
        <v>-9.5</v>
      </c>
      <c r="K184" s="43">
        <v>-19.5</v>
      </c>
      <c r="L184" s="42">
        <v>-40</v>
      </c>
      <c r="M184" s="42">
        <v>-61</v>
      </c>
      <c r="N184" s="43">
        <v>-82.5</v>
      </c>
      <c r="O184" s="42">
        <v>-105</v>
      </c>
      <c r="P184" s="42">
        <v>-128.5</v>
      </c>
      <c r="Q184" s="43">
        <v>-152.5</v>
      </c>
    </row>
    <row r="185" spans="5:18" ht="13.5" x14ac:dyDescent="0.2">
      <c r="E185" s="49"/>
      <c r="F185" s="50"/>
      <c r="G185" s="52"/>
      <c r="H185" s="52"/>
      <c r="I185" s="52"/>
      <c r="J185" s="52"/>
      <c r="K185" s="52"/>
      <c r="L185" s="52"/>
      <c r="M185" s="52"/>
      <c r="N185" s="52"/>
      <c r="P185" s="52"/>
      <c r="Q185" s="52"/>
    </row>
    <row r="186" spans="5:18" ht="15" x14ac:dyDescent="0.2">
      <c r="E186" s="1"/>
      <c r="F186" s="1">
        <v>1</v>
      </c>
      <c r="G186" s="1">
        <v>2</v>
      </c>
      <c r="H186" s="1">
        <v>3</v>
      </c>
      <c r="I186" s="1">
        <v>4</v>
      </c>
      <c r="J186" s="1">
        <v>5</v>
      </c>
      <c r="K186" s="1">
        <v>10</v>
      </c>
      <c r="L186" s="1">
        <v>20</v>
      </c>
      <c r="M186" s="1">
        <v>30</v>
      </c>
      <c r="N186" s="1">
        <v>40</v>
      </c>
      <c r="O186" s="1">
        <v>50</v>
      </c>
      <c r="P186" s="1">
        <v>60</v>
      </c>
      <c r="Q186" s="1">
        <v>70</v>
      </c>
    </row>
    <row r="187" spans="5:18" ht="13.5" x14ac:dyDescent="0.2">
      <c r="E187" s="9" t="s">
        <v>6</v>
      </c>
      <c r="F187" s="64">
        <v>11.7</v>
      </c>
      <c r="G187" s="64">
        <v>14.6</v>
      </c>
      <c r="H187" s="65">
        <v>17.399999999999999</v>
      </c>
      <c r="I187" s="64">
        <v>19.5</v>
      </c>
      <c r="J187" s="64">
        <v>21.6</v>
      </c>
      <c r="K187" s="65">
        <v>30</v>
      </c>
      <c r="L187" s="64">
        <v>41.8</v>
      </c>
      <c r="M187" s="64">
        <v>54</v>
      </c>
      <c r="N187" s="65">
        <v>67.099999999999994</v>
      </c>
      <c r="O187" s="64">
        <v>80.8</v>
      </c>
      <c r="P187" s="64">
        <v>94.1</v>
      </c>
      <c r="Q187" s="65">
        <v>108</v>
      </c>
      <c r="R187" t="s">
        <v>57</v>
      </c>
    </row>
    <row r="188" spans="5:18" ht="13.5" x14ac:dyDescent="0.2">
      <c r="E188" s="76" t="s">
        <v>7</v>
      </c>
      <c r="F188" s="72">
        <v>-4.8</v>
      </c>
      <c r="G188" s="72">
        <v>-8.5</v>
      </c>
      <c r="H188" s="73">
        <v>-12</v>
      </c>
      <c r="I188" s="72">
        <v>-15.5</v>
      </c>
      <c r="J188" s="72">
        <v>-19</v>
      </c>
      <c r="K188" s="73">
        <v>-39</v>
      </c>
      <c r="L188" s="72">
        <v>-80</v>
      </c>
      <c r="M188" s="72">
        <v>-122</v>
      </c>
      <c r="N188" s="73">
        <v>-165</v>
      </c>
      <c r="O188" s="72">
        <v>-210</v>
      </c>
      <c r="P188" s="72">
        <v>-257</v>
      </c>
      <c r="Q188" s="73">
        <v>-305</v>
      </c>
    </row>
    <row r="189" spans="5:18" ht="15" x14ac:dyDescent="0.2">
      <c r="E189" s="11" t="s">
        <v>8</v>
      </c>
      <c r="F189" s="44">
        <v>-4.8</v>
      </c>
      <c r="G189" s="44">
        <v>-4.25</v>
      </c>
      <c r="H189" s="44">
        <v>-4</v>
      </c>
      <c r="I189" s="44">
        <v>-3.875</v>
      </c>
      <c r="J189" s="44">
        <v>-3.8</v>
      </c>
      <c r="K189" s="44">
        <v>-3.9</v>
      </c>
      <c r="L189" s="44">
        <v>-4</v>
      </c>
      <c r="M189" s="44">
        <v>-4.0666666666666664</v>
      </c>
      <c r="N189" s="44">
        <v>-4.125</v>
      </c>
      <c r="O189" s="44">
        <v>-4.2</v>
      </c>
      <c r="P189" s="44">
        <v>-4.2833333333333332</v>
      </c>
      <c r="Q189" s="44">
        <v>-4.3571428571428568</v>
      </c>
    </row>
    <row r="190" spans="5:18" ht="15" x14ac:dyDescent="0.2">
      <c r="E190" s="8" t="s">
        <v>9</v>
      </c>
      <c r="F190" s="45">
        <v>0.77543999738373293</v>
      </c>
      <c r="G190" s="45">
        <v>0.68658749768351357</v>
      </c>
      <c r="H190" s="46">
        <v>0.64619999781977744</v>
      </c>
      <c r="I190" s="45">
        <v>0.62600624788790937</v>
      </c>
      <c r="J190" s="45">
        <v>0.61388999792878851</v>
      </c>
      <c r="K190" s="46">
        <v>0.63004499787428303</v>
      </c>
      <c r="L190" s="45">
        <v>0.64619999781977744</v>
      </c>
      <c r="M190" s="45">
        <v>0.65696999778344034</v>
      </c>
      <c r="N190" s="46">
        <v>0.6663937477516455</v>
      </c>
      <c r="O190" s="45">
        <v>0.67850999771076637</v>
      </c>
      <c r="P190" s="45">
        <v>0.69197249766534497</v>
      </c>
      <c r="Q190" s="46">
        <v>0.70389642619654325</v>
      </c>
    </row>
    <row r="191" spans="5:18" ht="15" x14ac:dyDescent="0.2">
      <c r="E191" s="14" t="s">
        <v>10</v>
      </c>
      <c r="F191" s="47">
        <v>0.41025641025641024</v>
      </c>
      <c r="G191" s="47">
        <v>0.5821917808219178</v>
      </c>
      <c r="H191" s="48">
        <v>0.68965517241379315</v>
      </c>
      <c r="I191" s="47">
        <v>0.79487179487179482</v>
      </c>
      <c r="J191" s="47">
        <v>0.87962962962962954</v>
      </c>
      <c r="K191" s="48">
        <v>1.3</v>
      </c>
      <c r="L191" s="47">
        <v>1.9138755980861246</v>
      </c>
      <c r="M191" s="47">
        <v>2.2592592592592591</v>
      </c>
      <c r="N191" s="48">
        <v>2.459016393442623</v>
      </c>
      <c r="O191" s="47">
        <v>2.5990099009900991</v>
      </c>
      <c r="P191" s="47">
        <v>2.7311370882040382</v>
      </c>
      <c r="Q191" s="48">
        <v>2.824074074074074</v>
      </c>
    </row>
    <row r="194" spans="5:18" ht="15" x14ac:dyDescent="0.2">
      <c r="E194" s="1" t="s">
        <v>13</v>
      </c>
      <c r="F194" s="1">
        <v>1</v>
      </c>
      <c r="G194" s="1">
        <v>2</v>
      </c>
      <c r="H194" s="1">
        <v>3</v>
      </c>
      <c r="I194" s="1">
        <v>4</v>
      </c>
      <c r="J194" s="1">
        <v>5</v>
      </c>
      <c r="K194" s="1">
        <v>10</v>
      </c>
      <c r="L194" s="1">
        <v>20</v>
      </c>
      <c r="M194" s="1">
        <v>30</v>
      </c>
      <c r="N194" s="1">
        <v>40</v>
      </c>
      <c r="O194" s="1">
        <v>50</v>
      </c>
      <c r="P194" s="1">
        <v>60</v>
      </c>
      <c r="Q194" s="1">
        <v>70</v>
      </c>
    </row>
    <row r="195" spans="5:18" ht="13.5" x14ac:dyDescent="0.2">
      <c r="E195" s="9" t="s">
        <v>6</v>
      </c>
      <c r="F195" s="42">
        <v>6.26</v>
      </c>
      <c r="G195" s="42">
        <v>7.8</v>
      </c>
      <c r="H195" s="43">
        <v>9.4</v>
      </c>
      <c r="I195" s="42">
        <v>10.6</v>
      </c>
      <c r="J195" s="42">
        <v>11.82</v>
      </c>
      <c r="K195" s="43">
        <v>17</v>
      </c>
      <c r="L195" s="42">
        <v>24</v>
      </c>
      <c r="M195" s="42">
        <v>31</v>
      </c>
      <c r="N195" s="43">
        <v>38.5</v>
      </c>
      <c r="O195" s="42">
        <v>46</v>
      </c>
      <c r="P195" s="42">
        <v>54</v>
      </c>
      <c r="Q195" s="43">
        <v>62</v>
      </c>
    </row>
    <row r="196" spans="5:18" ht="13.5" x14ac:dyDescent="0.2">
      <c r="E196" s="9" t="s">
        <v>7</v>
      </c>
      <c r="F196" s="42">
        <v>-2.4</v>
      </c>
      <c r="G196" s="42">
        <v>-4.25</v>
      </c>
      <c r="H196" s="43">
        <v>-6</v>
      </c>
      <c r="I196" s="42">
        <v>-7.75</v>
      </c>
      <c r="J196" s="42">
        <v>-9.5</v>
      </c>
      <c r="K196" s="43">
        <v>-19.5</v>
      </c>
      <c r="L196" s="42">
        <v>-40</v>
      </c>
      <c r="M196" s="42">
        <v>-61</v>
      </c>
      <c r="N196" s="43">
        <v>-82.5</v>
      </c>
      <c r="O196" s="42">
        <v>-105</v>
      </c>
      <c r="P196" s="42">
        <v>-128.5</v>
      </c>
      <c r="Q196" s="43">
        <v>-152.5</v>
      </c>
    </row>
    <row r="197" spans="5:18" ht="13.5" x14ac:dyDescent="0.2">
      <c r="E197" s="49"/>
      <c r="F197" s="50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</row>
    <row r="198" spans="5:18" ht="15" x14ac:dyDescent="0.2">
      <c r="E198" s="1"/>
      <c r="F198" s="1">
        <v>1</v>
      </c>
      <c r="G198" s="1">
        <v>2</v>
      </c>
      <c r="H198" s="1">
        <v>3</v>
      </c>
      <c r="I198" s="1">
        <v>4</v>
      </c>
      <c r="J198" s="1">
        <v>5</v>
      </c>
      <c r="K198" s="1">
        <v>10</v>
      </c>
      <c r="L198" s="1">
        <v>20</v>
      </c>
      <c r="M198" s="1">
        <v>30</v>
      </c>
      <c r="N198" s="1">
        <v>40</v>
      </c>
      <c r="O198" s="1">
        <v>50</v>
      </c>
      <c r="P198" s="1">
        <v>60</v>
      </c>
      <c r="Q198" s="1">
        <v>70</v>
      </c>
    </row>
    <row r="199" spans="5:18" ht="13.5" x14ac:dyDescent="0.2">
      <c r="E199" s="9" t="s">
        <v>6</v>
      </c>
      <c r="F199" s="64">
        <v>12.52</v>
      </c>
      <c r="G199" s="64">
        <v>15.6</v>
      </c>
      <c r="H199" s="65">
        <v>18.8</v>
      </c>
      <c r="I199" s="64">
        <v>21.2</v>
      </c>
      <c r="J199" s="64">
        <v>23.64</v>
      </c>
      <c r="K199" s="65">
        <v>34</v>
      </c>
      <c r="L199" s="64">
        <v>48</v>
      </c>
      <c r="M199" s="64">
        <v>62</v>
      </c>
      <c r="N199" s="65">
        <v>77</v>
      </c>
      <c r="O199" s="64">
        <v>92</v>
      </c>
      <c r="P199" s="64">
        <v>108</v>
      </c>
      <c r="Q199" s="65">
        <v>124</v>
      </c>
      <c r="R199" t="s">
        <v>55</v>
      </c>
    </row>
    <row r="200" spans="5:18" ht="13.5" x14ac:dyDescent="0.2">
      <c r="E200" s="76" t="s">
        <v>7</v>
      </c>
      <c r="F200" s="72">
        <v>-4.8</v>
      </c>
      <c r="G200" s="72">
        <v>-8.5</v>
      </c>
      <c r="H200" s="73">
        <v>-12</v>
      </c>
      <c r="I200" s="72">
        <v>-15.5</v>
      </c>
      <c r="J200" s="72">
        <v>-19</v>
      </c>
      <c r="K200" s="73">
        <v>-39</v>
      </c>
      <c r="L200" s="72">
        <v>-80</v>
      </c>
      <c r="M200" s="72">
        <v>-122</v>
      </c>
      <c r="N200" s="73">
        <v>-165</v>
      </c>
      <c r="O200" s="72">
        <v>-210</v>
      </c>
      <c r="P200" s="72">
        <v>-257</v>
      </c>
      <c r="Q200" s="73">
        <v>-305</v>
      </c>
    </row>
    <row r="201" spans="5:18" ht="15" x14ac:dyDescent="0.2">
      <c r="E201" s="11" t="s">
        <v>8</v>
      </c>
      <c r="F201" s="44">
        <v>-4.8</v>
      </c>
      <c r="G201" s="44">
        <v>-4.25</v>
      </c>
      <c r="H201" s="44">
        <v>-4</v>
      </c>
      <c r="I201" s="44">
        <v>-3.875</v>
      </c>
      <c r="J201" s="44">
        <v>-3.8</v>
      </c>
      <c r="K201" s="44">
        <v>-3.9</v>
      </c>
      <c r="L201" s="44">
        <v>-4</v>
      </c>
      <c r="M201" s="44">
        <v>-4.0666666666666664</v>
      </c>
      <c r="N201" s="44">
        <v>-4.125</v>
      </c>
      <c r="O201" s="44">
        <v>-4.2</v>
      </c>
      <c r="P201" s="44">
        <v>-4.2833333333333332</v>
      </c>
      <c r="Q201" s="44">
        <v>-4.3571428571428568</v>
      </c>
    </row>
    <row r="202" spans="5:18" ht="15" x14ac:dyDescent="0.2">
      <c r="E202" s="8" t="s">
        <v>9</v>
      </c>
      <c r="F202" s="45">
        <v>0.77543999738373293</v>
      </c>
      <c r="G202" s="45">
        <v>0.68658749768351357</v>
      </c>
      <c r="H202" s="46">
        <v>0.64619999781977744</v>
      </c>
      <c r="I202" s="45">
        <v>0.62600624788790937</v>
      </c>
      <c r="J202" s="45">
        <v>0.61388999792878851</v>
      </c>
      <c r="K202" s="46">
        <v>0.63004499787428303</v>
      </c>
      <c r="L202" s="45">
        <v>0.64619999781977744</v>
      </c>
      <c r="M202" s="45">
        <v>0.65696999778344034</v>
      </c>
      <c r="N202" s="46">
        <v>0.6663937477516455</v>
      </c>
      <c r="O202" s="45">
        <v>0.67850999771076637</v>
      </c>
      <c r="P202" s="45">
        <v>0.69197249766534497</v>
      </c>
      <c r="Q202" s="46">
        <v>0.70389642619654325</v>
      </c>
    </row>
    <row r="203" spans="5:18" ht="15" x14ac:dyDescent="0.2">
      <c r="E203" s="14" t="s">
        <v>10</v>
      </c>
      <c r="F203" s="47">
        <v>0.38338658146964855</v>
      </c>
      <c r="G203" s="47">
        <v>0.54487179487179493</v>
      </c>
      <c r="H203" s="48">
        <v>0.63829787234042545</v>
      </c>
      <c r="I203" s="47">
        <v>0.73113207547169812</v>
      </c>
      <c r="J203" s="47">
        <v>0.80372250423011837</v>
      </c>
      <c r="K203" s="48">
        <v>1.1470588235294117</v>
      </c>
      <c r="L203" s="47">
        <v>1.6666666666666667</v>
      </c>
      <c r="M203" s="47">
        <v>1.967741935483871</v>
      </c>
      <c r="N203" s="48">
        <v>2.1428571428571428</v>
      </c>
      <c r="O203" s="47">
        <v>2.2826086956521738</v>
      </c>
      <c r="P203" s="47">
        <v>2.3796296296296298</v>
      </c>
      <c r="Q203" s="48">
        <v>2.4596774193548385</v>
      </c>
    </row>
    <row r="269" spans="2:2" x14ac:dyDescent="0.2">
      <c r="B269" t="s">
        <v>78</v>
      </c>
    </row>
  </sheetData>
  <pageMargins left="0.7" right="0.7" top="0.75" bottom="0.75" header="0.3" footer="0.3"/>
  <pageSetup scale="80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>
    <pageSetUpPr fitToPage="1"/>
  </sheetPr>
  <dimension ref="A1:R255"/>
  <sheetViews>
    <sheetView showGridLines="0" zoomScale="90" zoomScaleNormal="90" workbookViewId="0"/>
  </sheetViews>
  <sheetFormatPr defaultRowHeight="12.75" x14ac:dyDescent="0.2"/>
  <cols>
    <col min="2" max="2" width="11.7109375" customWidth="1"/>
  </cols>
  <sheetData>
    <row r="1" spans="1:18" x14ac:dyDescent="0.2">
      <c r="A1" t="s">
        <v>79</v>
      </c>
      <c r="J1" s="57" t="s">
        <v>95</v>
      </c>
    </row>
    <row r="2" spans="1:18" x14ac:dyDescent="0.2">
      <c r="A2" s="18" t="s">
        <v>80</v>
      </c>
      <c r="J2" s="57" t="s">
        <v>97</v>
      </c>
      <c r="O2" s="51" t="s">
        <v>14</v>
      </c>
    </row>
    <row r="3" spans="1:18" x14ac:dyDescent="0.2">
      <c r="A3" s="70" t="s">
        <v>81</v>
      </c>
    </row>
    <row r="4" spans="1:18" x14ac:dyDescent="0.2">
      <c r="B4" s="87" t="s">
        <v>94</v>
      </c>
    </row>
    <row r="6" spans="1:18" x14ac:dyDescent="0.2">
      <c r="E6" s="59" t="s">
        <v>25</v>
      </c>
      <c r="F6" s="60">
        <v>0.96</v>
      </c>
    </row>
    <row r="7" spans="1:18" x14ac:dyDescent="0.2">
      <c r="E7" s="61" t="s">
        <v>26</v>
      </c>
      <c r="F7" s="62">
        <v>85</v>
      </c>
    </row>
    <row r="8" spans="1:18" x14ac:dyDescent="0.2">
      <c r="E8" s="61" t="s">
        <v>27</v>
      </c>
      <c r="F8" s="62">
        <v>0.9</v>
      </c>
    </row>
    <row r="11" spans="1:18" ht="15" x14ac:dyDescent="0.2">
      <c r="B11" s="18"/>
      <c r="E11" s="1" t="s">
        <v>13</v>
      </c>
      <c r="F11" s="1">
        <v>1</v>
      </c>
      <c r="G11" s="1">
        <v>2</v>
      </c>
      <c r="H11" s="1">
        <v>3</v>
      </c>
      <c r="I11" s="1">
        <v>4</v>
      </c>
      <c r="J11" s="1">
        <v>5</v>
      </c>
      <c r="K11" s="1">
        <v>10</v>
      </c>
      <c r="L11" s="1">
        <v>20</v>
      </c>
      <c r="M11" s="1">
        <v>30</v>
      </c>
      <c r="N11" s="1">
        <v>40</v>
      </c>
      <c r="O11" s="1">
        <v>50</v>
      </c>
      <c r="P11" s="1">
        <v>60</v>
      </c>
      <c r="Q11" s="1">
        <v>70</v>
      </c>
    </row>
    <row r="12" spans="1:18" ht="13.5" x14ac:dyDescent="0.2">
      <c r="E12" s="9" t="s">
        <v>6</v>
      </c>
      <c r="F12" s="42">
        <f t="shared" ref="F12:Q13" si="0">F16/2</f>
        <v>5.12</v>
      </c>
      <c r="G12" s="42">
        <f t="shared" si="0"/>
        <v>6.29</v>
      </c>
      <c r="H12" s="43">
        <f t="shared" si="0"/>
        <v>7.3</v>
      </c>
      <c r="I12" s="42">
        <f t="shared" si="0"/>
        <v>8.1</v>
      </c>
      <c r="J12" s="42">
        <f t="shared" si="0"/>
        <v>8.8000000000000007</v>
      </c>
      <c r="K12" s="43">
        <f t="shared" si="0"/>
        <v>11</v>
      </c>
      <c r="L12" s="42">
        <f t="shared" si="0"/>
        <v>16</v>
      </c>
      <c r="M12" s="42">
        <f t="shared" si="0"/>
        <v>21</v>
      </c>
      <c r="N12" s="43">
        <f t="shared" si="0"/>
        <v>26</v>
      </c>
      <c r="O12" s="42">
        <f t="shared" si="0"/>
        <v>31.1</v>
      </c>
      <c r="P12" s="42">
        <f t="shared" si="0"/>
        <v>36.200000000000003</v>
      </c>
      <c r="Q12" s="43">
        <f t="shared" si="0"/>
        <v>41.4</v>
      </c>
    </row>
    <row r="13" spans="1:18" ht="13.5" x14ac:dyDescent="0.2">
      <c r="E13" s="9" t="s">
        <v>7</v>
      </c>
      <c r="F13" s="42">
        <f t="shared" si="0"/>
        <v>-2.165</v>
      </c>
      <c r="G13" s="42">
        <f t="shared" si="0"/>
        <v>-4.335</v>
      </c>
      <c r="H13" s="43">
        <f t="shared" si="0"/>
        <v>-6.5</v>
      </c>
      <c r="I13" s="42">
        <f t="shared" si="0"/>
        <v>-8.66</v>
      </c>
      <c r="J13" s="42">
        <f t="shared" si="0"/>
        <v>-10.824999999999999</v>
      </c>
      <c r="K13" s="43">
        <f t="shared" si="0"/>
        <v>-21.65</v>
      </c>
      <c r="L13" s="42">
        <f t="shared" si="0"/>
        <v>-43.3</v>
      </c>
      <c r="M13" s="42">
        <f t="shared" si="0"/>
        <v>-65</v>
      </c>
      <c r="N13" s="43">
        <f t="shared" si="0"/>
        <v>-86.65</v>
      </c>
      <c r="O13" s="42">
        <f t="shared" si="0"/>
        <v>-108.25</v>
      </c>
      <c r="P13" s="42">
        <f t="shared" si="0"/>
        <v>-130</v>
      </c>
      <c r="Q13" s="43">
        <f t="shared" si="0"/>
        <v>-151.75</v>
      </c>
    </row>
    <row r="14" spans="1:18" ht="13.5" x14ac:dyDescent="0.2">
      <c r="E14" s="49"/>
      <c r="F14" s="50"/>
      <c r="G14" s="52"/>
      <c r="H14" s="52"/>
      <c r="I14" s="52"/>
      <c r="J14" s="52"/>
      <c r="K14" s="52"/>
      <c r="L14" s="52"/>
      <c r="M14" s="52"/>
      <c r="N14" s="52"/>
      <c r="P14" s="52"/>
      <c r="Q14" s="52"/>
    </row>
    <row r="15" spans="1:18" ht="15" x14ac:dyDescent="0.2">
      <c r="E15" s="1"/>
      <c r="F15" s="1">
        <v>1</v>
      </c>
      <c r="G15" s="1">
        <v>2</v>
      </c>
      <c r="H15" s="1">
        <v>3</v>
      </c>
      <c r="I15" s="1">
        <v>4</v>
      </c>
      <c r="J15" s="1">
        <v>5</v>
      </c>
      <c r="K15" s="1">
        <v>10</v>
      </c>
      <c r="L15" s="1">
        <v>20</v>
      </c>
      <c r="M15" s="1">
        <v>30</v>
      </c>
      <c r="N15" s="1">
        <v>40</v>
      </c>
      <c r="O15" s="1">
        <v>50</v>
      </c>
      <c r="P15" s="1">
        <v>60</v>
      </c>
      <c r="Q15" s="1">
        <v>70</v>
      </c>
    </row>
    <row r="16" spans="1:18" ht="13.5" x14ac:dyDescent="0.2">
      <c r="E16" s="9" t="s">
        <v>6</v>
      </c>
      <c r="F16" s="72">
        <v>10.24</v>
      </c>
      <c r="G16" s="72">
        <v>12.58</v>
      </c>
      <c r="H16" s="73">
        <v>14.6</v>
      </c>
      <c r="I16" s="72">
        <v>16.2</v>
      </c>
      <c r="J16" s="72">
        <v>17.600000000000001</v>
      </c>
      <c r="K16" s="73">
        <v>22</v>
      </c>
      <c r="L16" s="72">
        <v>32</v>
      </c>
      <c r="M16" s="72">
        <v>42</v>
      </c>
      <c r="N16" s="73">
        <v>52</v>
      </c>
      <c r="O16" s="72">
        <v>62.2</v>
      </c>
      <c r="P16" s="72">
        <v>72.400000000000006</v>
      </c>
      <c r="Q16" s="73">
        <v>82.8</v>
      </c>
      <c r="R16" s="75"/>
    </row>
    <row r="17" spans="4:18" ht="13.5" x14ac:dyDescent="0.2">
      <c r="E17" s="76" t="s">
        <v>7</v>
      </c>
      <c r="F17" s="64">
        <v>-4.33</v>
      </c>
      <c r="G17" s="64">
        <v>-8.67</v>
      </c>
      <c r="H17" s="65">
        <v>-13</v>
      </c>
      <c r="I17" s="64">
        <v>-17.32</v>
      </c>
      <c r="J17" s="64">
        <v>-21.65</v>
      </c>
      <c r="K17" s="65">
        <v>-43.3</v>
      </c>
      <c r="L17" s="64">
        <v>-86.6</v>
      </c>
      <c r="M17" s="64">
        <v>-130</v>
      </c>
      <c r="N17" s="65">
        <v>-173.3</v>
      </c>
      <c r="O17" s="64">
        <v>-216.5</v>
      </c>
      <c r="P17" s="64">
        <v>-260</v>
      </c>
      <c r="Q17" s="65">
        <v>-303.5</v>
      </c>
      <c r="R17" s="71"/>
    </row>
    <row r="18" spans="4:18" ht="15" x14ac:dyDescent="0.2">
      <c r="E18" s="11" t="s">
        <v>8</v>
      </c>
      <c r="F18" s="44">
        <f>F17/F15</f>
        <v>-4.33</v>
      </c>
      <c r="G18" s="44">
        <f t="shared" ref="G18:Q18" si="1">G17/G15</f>
        <v>-4.335</v>
      </c>
      <c r="H18" s="44">
        <f t="shared" si="1"/>
        <v>-4.333333333333333</v>
      </c>
      <c r="I18" s="44">
        <f t="shared" si="1"/>
        <v>-4.33</v>
      </c>
      <c r="J18" s="44">
        <f t="shared" si="1"/>
        <v>-4.33</v>
      </c>
      <c r="K18" s="44">
        <f t="shared" si="1"/>
        <v>-4.33</v>
      </c>
      <c r="L18" s="44">
        <f t="shared" si="1"/>
        <v>-4.33</v>
      </c>
      <c r="M18" s="44">
        <f t="shared" si="1"/>
        <v>-4.333333333333333</v>
      </c>
      <c r="N18" s="44">
        <f t="shared" si="1"/>
        <v>-4.3325000000000005</v>
      </c>
      <c r="O18" s="44">
        <f t="shared" si="1"/>
        <v>-4.33</v>
      </c>
      <c r="P18" s="44">
        <f t="shared" si="1"/>
        <v>-4.333333333333333</v>
      </c>
      <c r="Q18" s="44">
        <f t="shared" si="1"/>
        <v>-4.3357142857142854</v>
      </c>
    </row>
    <row r="19" spans="4:18" ht="15" x14ac:dyDescent="0.2">
      <c r="E19" s="8" t="s">
        <v>9</v>
      </c>
      <c r="F19" s="85">
        <f>SQRT(12*32.2*F18^2/(4*$F$7*($F$6*56)*$F$8^2))</f>
        <v>0.69951149763990905</v>
      </c>
      <c r="G19" s="85">
        <f t="shared" ref="G19:Q19" si="2">SQRT(12*32.2*G18^2/(4*$F$7*($F$6*56)*$F$8^2))</f>
        <v>0.70031924763718378</v>
      </c>
      <c r="H19" s="86">
        <f t="shared" si="2"/>
        <v>0.70004999763809217</v>
      </c>
      <c r="I19" s="85">
        <f t="shared" si="2"/>
        <v>0.69951149763990905</v>
      </c>
      <c r="J19" s="85">
        <f t="shared" si="2"/>
        <v>0.69951149763990905</v>
      </c>
      <c r="K19" s="86">
        <f t="shared" si="2"/>
        <v>0.69951149763990905</v>
      </c>
      <c r="L19" s="85">
        <f t="shared" si="2"/>
        <v>0.69951149763990905</v>
      </c>
      <c r="M19" s="85">
        <f t="shared" si="2"/>
        <v>0.70004999763809217</v>
      </c>
      <c r="N19" s="86">
        <f t="shared" si="2"/>
        <v>0.69991537263854653</v>
      </c>
      <c r="O19" s="85">
        <f t="shared" si="2"/>
        <v>0.69951149763990905</v>
      </c>
      <c r="P19" s="85">
        <f t="shared" si="2"/>
        <v>0.70004999763809217</v>
      </c>
      <c r="Q19" s="86">
        <f t="shared" si="2"/>
        <v>0.70043464049393733</v>
      </c>
      <c r="R19" s="71" t="s">
        <v>82</v>
      </c>
    </row>
    <row r="20" spans="4:18" ht="15" x14ac:dyDescent="0.2">
      <c r="E20" s="14" t="s">
        <v>10</v>
      </c>
      <c r="F20" s="47">
        <f>(F17/F16)*-1</f>
        <v>0.4228515625</v>
      </c>
      <c r="G20" s="47">
        <f t="shared" ref="G20:Q20" si="3">(G17/G16)*-1</f>
        <v>0.68918918918918914</v>
      </c>
      <c r="H20" s="48">
        <f t="shared" si="3"/>
        <v>0.8904109589041096</v>
      </c>
      <c r="I20" s="47">
        <f t="shared" si="3"/>
        <v>1.069135802469136</v>
      </c>
      <c r="J20" s="47">
        <f t="shared" si="3"/>
        <v>1.2301136363636362</v>
      </c>
      <c r="K20" s="48">
        <f t="shared" si="3"/>
        <v>1.968181818181818</v>
      </c>
      <c r="L20" s="47">
        <f t="shared" si="3"/>
        <v>2.7062499999999998</v>
      </c>
      <c r="M20" s="47">
        <f t="shared" si="3"/>
        <v>3.0952380952380953</v>
      </c>
      <c r="N20" s="48">
        <f t="shared" si="3"/>
        <v>3.3326923076923078</v>
      </c>
      <c r="O20" s="47">
        <f t="shared" si="3"/>
        <v>3.480707395498392</v>
      </c>
      <c r="P20" s="47">
        <f t="shared" si="3"/>
        <v>3.5911602209944751</v>
      </c>
      <c r="Q20" s="48">
        <f t="shared" si="3"/>
        <v>3.6654589371980677</v>
      </c>
      <c r="R20" s="39"/>
    </row>
    <row r="23" spans="4:18" ht="15" x14ac:dyDescent="0.2">
      <c r="E23" s="1" t="s">
        <v>13</v>
      </c>
      <c r="F23" s="1">
        <v>1</v>
      </c>
      <c r="G23" s="1">
        <v>2</v>
      </c>
      <c r="H23" s="1">
        <v>3</v>
      </c>
      <c r="I23" s="1">
        <v>4</v>
      </c>
      <c r="J23" s="1">
        <v>5</v>
      </c>
      <c r="K23" s="1">
        <v>10</v>
      </c>
      <c r="L23" s="1">
        <v>20</v>
      </c>
      <c r="M23" s="1">
        <v>30</v>
      </c>
      <c r="N23" s="1">
        <v>40</v>
      </c>
      <c r="O23" s="1">
        <v>50</v>
      </c>
      <c r="P23" s="1">
        <v>60</v>
      </c>
      <c r="Q23" s="1">
        <v>70</v>
      </c>
    </row>
    <row r="24" spans="4:18" ht="13.5" x14ac:dyDescent="0.2">
      <c r="E24" s="9" t="s">
        <v>6</v>
      </c>
      <c r="F24" s="42">
        <f t="shared" ref="F24:Q24" si="4">F28/2</f>
        <v>5.12</v>
      </c>
      <c r="G24" s="42">
        <f t="shared" si="4"/>
        <v>6.29</v>
      </c>
      <c r="H24" s="43">
        <f t="shared" si="4"/>
        <v>7.3</v>
      </c>
      <c r="I24" s="42">
        <f t="shared" si="4"/>
        <v>8.1</v>
      </c>
      <c r="J24" s="42">
        <f t="shared" si="4"/>
        <v>8.8000000000000007</v>
      </c>
      <c r="K24" s="43">
        <f t="shared" si="4"/>
        <v>11</v>
      </c>
      <c r="L24" s="42">
        <f t="shared" si="4"/>
        <v>16</v>
      </c>
      <c r="M24" s="42">
        <f t="shared" si="4"/>
        <v>21</v>
      </c>
      <c r="N24" s="43">
        <f t="shared" si="4"/>
        <v>26</v>
      </c>
      <c r="O24" s="42">
        <f t="shared" si="4"/>
        <v>31.1</v>
      </c>
      <c r="P24" s="42">
        <f t="shared" si="4"/>
        <v>36.200000000000003</v>
      </c>
      <c r="Q24" s="43">
        <f t="shared" si="4"/>
        <v>41.4</v>
      </c>
    </row>
    <row r="25" spans="4:18" ht="13.5" x14ac:dyDescent="0.2">
      <c r="E25" s="9" t="s">
        <v>7</v>
      </c>
      <c r="F25" s="42">
        <f t="shared" ref="F25:Q25" si="5">F29/2</f>
        <v>-2.011285</v>
      </c>
      <c r="G25" s="42">
        <f t="shared" si="5"/>
        <v>-4.027215</v>
      </c>
      <c r="H25" s="43">
        <f t="shared" si="5"/>
        <v>-6.0385</v>
      </c>
      <c r="I25" s="42">
        <f t="shared" si="5"/>
        <v>-8.04514</v>
      </c>
      <c r="J25" s="42">
        <f t="shared" si="5"/>
        <v>-10.056424999999999</v>
      </c>
      <c r="K25" s="43">
        <f t="shared" si="5"/>
        <v>-20.112849999999998</v>
      </c>
      <c r="L25" s="42">
        <f t="shared" si="5"/>
        <v>-40.225699999999996</v>
      </c>
      <c r="M25" s="42">
        <f t="shared" si="5"/>
        <v>-60.385000000000005</v>
      </c>
      <c r="N25" s="43">
        <f t="shared" si="5"/>
        <v>-80.497850000000014</v>
      </c>
      <c r="O25" s="42">
        <f t="shared" si="5"/>
        <v>-100.56425</v>
      </c>
      <c r="P25" s="42">
        <f t="shared" si="5"/>
        <v>-120.77000000000001</v>
      </c>
      <c r="Q25" s="43">
        <f t="shared" si="5"/>
        <v>-141</v>
      </c>
    </row>
    <row r="26" spans="4:18" ht="13.5" x14ac:dyDescent="0.2">
      <c r="E26" s="49"/>
      <c r="F26" s="50"/>
      <c r="G26" s="52"/>
      <c r="H26" s="52"/>
      <c r="I26" s="52"/>
      <c r="J26" s="52"/>
      <c r="K26" s="52"/>
      <c r="L26" s="52"/>
      <c r="M26" s="52"/>
      <c r="N26" s="52"/>
      <c r="P26" s="52"/>
      <c r="Q26" s="52"/>
    </row>
    <row r="27" spans="4:18" ht="15" x14ac:dyDescent="0.2">
      <c r="E27" s="1"/>
      <c r="F27" s="1">
        <v>1</v>
      </c>
      <c r="G27" s="1">
        <v>2</v>
      </c>
      <c r="H27" s="1">
        <v>3</v>
      </c>
      <c r="I27" s="1">
        <v>4</v>
      </c>
      <c r="J27" s="1">
        <v>5</v>
      </c>
      <c r="K27" s="1">
        <v>10</v>
      </c>
      <c r="L27" s="1">
        <v>20</v>
      </c>
      <c r="M27" s="1">
        <v>30</v>
      </c>
      <c r="N27" s="1">
        <v>40</v>
      </c>
      <c r="O27" s="1">
        <v>50</v>
      </c>
      <c r="P27" s="1">
        <v>60</v>
      </c>
      <c r="Q27" s="1">
        <v>70</v>
      </c>
    </row>
    <row r="28" spans="4:18" ht="13.5" x14ac:dyDescent="0.2">
      <c r="E28" s="9" t="s">
        <v>6</v>
      </c>
      <c r="F28" s="72">
        <v>10.24</v>
      </c>
      <c r="G28" s="72">
        <v>12.58</v>
      </c>
      <c r="H28" s="73">
        <v>14.6</v>
      </c>
      <c r="I28" s="72">
        <v>16.2</v>
      </c>
      <c r="J28" s="72">
        <v>17.600000000000001</v>
      </c>
      <c r="K28" s="73">
        <v>22</v>
      </c>
      <c r="L28" s="72">
        <v>32</v>
      </c>
      <c r="M28" s="72">
        <v>42</v>
      </c>
      <c r="N28" s="73">
        <v>52</v>
      </c>
      <c r="O28" s="72">
        <v>62.2</v>
      </c>
      <c r="P28" s="72">
        <v>72.400000000000006</v>
      </c>
      <c r="Q28" s="73">
        <v>82.8</v>
      </c>
    </row>
    <row r="29" spans="4:18" ht="13.5" x14ac:dyDescent="0.2">
      <c r="D29">
        <v>0.92900000000000005</v>
      </c>
      <c r="E29" s="76" t="s">
        <v>7</v>
      </c>
      <c r="F29" s="64">
        <f>(F17*$D$29)</f>
        <v>-4.02257</v>
      </c>
      <c r="G29" s="64">
        <f t="shared" ref="G29:P29" si="6">(G17*$D$29)</f>
        <v>-8.05443</v>
      </c>
      <c r="H29" s="65">
        <f t="shared" si="6"/>
        <v>-12.077</v>
      </c>
      <c r="I29" s="64">
        <f t="shared" si="6"/>
        <v>-16.09028</v>
      </c>
      <c r="J29" s="64">
        <f t="shared" si="6"/>
        <v>-20.112849999999998</v>
      </c>
      <c r="K29" s="65">
        <f t="shared" si="6"/>
        <v>-40.225699999999996</v>
      </c>
      <c r="L29" s="64">
        <f t="shared" si="6"/>
        <v>-80.451399999999992</v>
      </c>
      <c r="M29" s="64">
        <f t="shared" si="6"/>
        <v>-120.77000000000001</v>
      </c>
      <c r="N29" s="65">
        <f t="shared" si="6"/>
        <v>-160.99570000000003</v>
      </c>
      <c r="O29" s="64">
        <f t="shared" si="6"/>
        <v>-201.1285</v>
      </c>
      <c r="P29" s="64">
        <f t="shared" si="6"/>
        <v>-241.54000000000002</v>
      </c>
      <c r="Q29" s="65">
        <v>-282</v>
      </c>
    </row>
    <row r="30" spans="4:18" ht="15" x14ac:dyDescent="0.2">
      <c r="E30" s="11" t="s">
        <v>8</v>
      </c>
      <c r="F30" s="44">
        <f>F29/F27</f>
        <v>-4.02257</v>
      </c>
      <c r="G30" s="44">
        <f t="shared" ref="G30:Q30" si="7">G29/G27</f>
        <v>-4.027215</v>
      </c>
      <c r="H30" s="44">
        <f t="shared" si="7"/>
        <v>-4.0256666666666669</v>
      </c>
      <c r="I30" s="44">
        <f t="shared" si="7"/>
        <v>-4.02257</v>
      </c>
      <c r="J30" s="44">
        <f t="shared" si="7"/>
        <v>-4.02257</v>
      </c>
      <c r="K30" s="44">
        <f t="shared" si="7"/>
        <v>-4.02257</v>
      </c>
      <c r="L30" s="44">
        <f t="shared" si="7"/>
        <v>-4.02257</v>
      </c>
      <c r="M30" s="44">
        <f t="shared" si="7"/>
        <v>-4.0256666666666669</v>
      </c>
      <c r="N30" s="44">
        <f t="shared" si="7"/>
        <v>-4.0248925000000009</v>
      </c>
      <c r="O30" s="44">
        <f t="shared" si="7"/>
        <v>-4.02257</v>
      </c>
      <c r="P30" s="44">
        <f t="shared" si="7"/>
        <v>-4.0256666666666669</v>
      </c>
      <c r="Q30" s="44">
        <f t="shared" si="7"/>
        <v>-4.0285714285714285</v>
      </c>
    </row>
    <row r="31" spans="4:18" ht="15" x14ac:dyDescent="0.2">
      <c r="E31" s="8" t="s">
        <v>9</v>
      </c>
      <c r="F31" s="85">
        <f>SQRT(12*32.2*F30^2/(4*$F$7*($F$6*56)*$F$8^2))</f>
        <v>0.64984618130747551</v>
      </c>
      <c r="G31" s="85">
        <f t="shared" ref="G31:Q31" si="8">SQRT(12*32.2*G30^2/(4*$F$7*($F$6*56)*$F$8^2))</f>
        <v>0.65059658105494367</v>
      </c>
      <c r="H31" s="86">
        <f t="shared" si="8"/>
        <v>0.65034644780578776</v>
      </c>
      <c r="I31" s="85">
        <f t="shared" si="8"/>
        <v>0.64984618130747551</v>
      </c>
      <c r="J31" s="85">
        <f t="shared" si="8"/>
        <v>0.64984618130747551</v>
      </c>
      <c r="K31" s="86">
        <f t="shared" si="8"/>
        <v>0.64984618130747551</v>
      </c>
      <c r="L31" s="85">
        <f t="shared" si="8"/>
        <v>0.64984618130747551</v>
      </c>
      <c r="M31" s="85">
        <f t="shared" si="8"/>
        <v>0.65034644780578776</v>
      </c>
      <c r="N31" s="86">
        <f t="shared" si="8"/>
        <v>0.65022138118120976</v>
      </c>
      <c r="O31" s="85">
        <f t="shared" si="8"/>
        <v>0.64984618130747551</v>
      </c>
      <c r="P31" s="85">
        <f t="shared" si="8"/>
        <v>0.65034644780578776</v>
      </c>
      <c r="Q31" s="86">
        <f t="shared" si="8"/>
        <v>0.65081571208991862</v>
      </c>
      <c r="R31" s="71" t="s">
        <v>83</v>
      </c>
    </row>
    <row r="32" spans="4:18" ht="15" x14ac:dyDescent="0.2">
      <c r="E32" s="14" t="s">
        <v>10</v>
      </c>
      <c r="F32" s="47">
        <f>(F29/F28)*-1</f>
        <v>0.3928291015625</v>
      </c>
      <c r="G32" s="47">
        <f t="shared" ref="G32:Q32" si="9">(G29/G28)*-1</f>
        <v>0.64025675675675675</v>
      </c>
      <c r="H32" s="48">
        <f t="shared" si="9"/>
        <v>0.8271917808219178</v>
      </c>
      <c r="I32" s="47">
        <f t="shared" si="9"/>
        <v>0.9932271604938272</v>
      </c>
      <c r="J32" s="47">
        <f t="shared" si="9"/>
        <v>1.1427755681818179</v>
      </c>
      <c r="K32" s="48">
        <f t="shared" si="9"/>
        <v>1.8284409090909088</v>
      </c>
      <c r="L32" s="47">
        <f t="shared" si="9"/>
        <v>2.5141062499999998</v>
      </c>
      <c r="M32" s="47">
        <f t="shared" si="9"/>
        <v>2.8754761904761907</v>
      </c>
      <c r="N32" s="48">
        <f t="shared" si="9"/>
        <v>3.0960711538461543</v>
      </c>
      <c r="O32" s="47">
        <f t="shared" si="9"/>
        <v>3.2335771704180063</v>
      </c>
      <c r="P32" s="47">
        <f t="shared" si="9"/>
        <v>3.3361878453038676</v>
      </c>
      <c r="Q32" s="48">
        <f t="shared" si="9"/>
        <v>3.4057971014492754</v>
      </c>
    </row>
    <row r="35" spans="4:18" ht="15" x14ac:dyDescent="0.2">
      <c r="E35" s="1" t="s">
        <v>13</v>
      </c>
      <c r="F35" s="1">
        <v>1</v>
      </c>
      <c r="G35" s="1">
        <v>2</v>
      </c>
      <c r="H35" s="1">
        <v>3</v>
      </c>
      <c r="I35" s="1">
        <v>4</v>
      </c>
      <c r="J35" s="1">
        <v>5</v>
      </c>
      <c r="K35" s="1">
        <v>10</v>
      </c>
      <c r="L35" s="1">
        <v>20</v>
      </c>
      <c r="M35" s="1">
        <v>30</v>
      </c>
      <c r="N35" s="1">
        <v>40</v>
      </c>
      <c r="O35" s="1">
        <v>50</v>
      </c>
      <c r="P35" s="1">
        <v>60</v>
      </c>
      <c r="Q35" s="1">
        <v>70</v>
      </c>
    </row>
    <row r="36" spans="4:18" ht="13.5" x14ac:dyDescent="0.2">
      <c r="E36" s="9" t="s">
        <v>6</v>
      </c>
      <c r="F36" s="42">
        <f t="shared" ref="F36:Q36" si="10">F40/2</f>
        <v>5.12</v>
      </c>
      <c r="G36" s="42">
        <f t="shared" si="10"/>
        <v>6.29</v>
      </c>
      <c r="H36" s="43">
        <f t="shared" si="10"/>
        <v>7.3</v>
      </c>
      <c r="I36" s="42">
        <f t="shared" si="10"/>
        <v>8.1</v>
      </c>
      <c r="J36" s="42">
        <f t="shared" si="10"/>
        <v>8.8000000000000007</v>
      </c>
      <c r="K36" s="43">
        <f t="shared" si="10"/>
        <v>11</v>
      </c>
      <c r="L36" s="42">
        <f t="shared" si="10"/>
        <v>16</v>
      </c>
      <c r="M36" s="42">
        <f t="shared" si="10"/>
        <v>21</v>
      </c>
      <c r="N36" s="43">
        <f t="shared" si="10"/>
        <v>26</v>
      </c>
      <c r="O36" s="42">
        <f t="shared" si="10"/>
        <v>31.1</v>
      </c>
      <c r="P36" s="42">
        <f t="shared" si="10"/>
        <v>36.200000000000003</v>
      </c>
      <c r="Q36" s="43">
        <f t="shared" si="10"/>
        <v>41.4</v>
      </c>
    </row>
    <row r="37" spans="4:18" ht="13.5" x14ac:dyDescent="0.2">
      <c r="E37" s="9" t="s">
        <v>7</v>
      </c>
      <c r="F37" s="42">
        <f t="shared" ref="F37:Q37" si="11">F41/2</f>
        <v>-1.8564160550000002</v>
      </c>
      <c r="G37" s="42">
        <f t="shared" si="11"/>
        <v>-3.7171194450000002</v>
      </c>
      <c r="H37" s="43">
        <f t="shared" si="11"/>
        <v>-5.5735355000000002</v>
      </c>
      <c r="I37" s="42">
        <f t="shared" si="11"/>
        <v>-7.4256642200000007</v>
      </c>
      <c r="J37" s="42">
        <f t="shared" si="11"/>
        <v>-9.2820802750000002</v>
      </c>
      <c r="K37" s="43">
        <f t="shared" si="11"/>
        <v>-18.56416055</v>
      </c>
      <c r="L37" s="42">
        <f t="shared" si="11"/>
        <v>-37.128321100000001</v>
      </c>
      <c r="M37" s="42">
        <f t="shared" si="11"/>
        <v>-55.735355000000006</v>
      </c>
      <c r="N37" s="43">
        <f t="shared" si="11"/>
        <v>-74.29951555000001</v>
      </c>
      <c r="O37" s="42">
        <f t="shared" si="11"/>
        <v>-92.820802749999999</v>
      </c>
      <c r="P37" s="42">
        <f t="shared" si="11"/>
        <v>-111.47071000000001</v>
      </c>
      <c r="Q37" s="43">
        <f t="shared" si="11"/>
        <v>-130.143</v>
      </c>
    </row>
    <row r="38" spans="4:18" ht="13.5" x14ac:dyDescent="0.2">
      <c r="E38" s="49"/>
      <c r="F38" s="50"/>
      <c r="G38" s="52"/>
      <c r="H38" s="52"/>
      <c r="I38" s="52"/>
      <c r="J38" s="52"/>
      <c r="K38" s="52"/>
      <c r="L38" s="52"/>
      <c r="M38" s="52"/>
      <c r="N38" s="52"/>
      <c r="P38" s="52"/>
      <c r="Q38" s="52"/>
    </row>
    <row r="39" spans="4:18" ht="15" x14ac:dyDescent="0.2">
      <c r="E39" s="1"/>
      <c r="F39" s="1">
        <v>1</v>
      </c>
      <c r="G39" s="1">
        <v>2</v>
      </c>
      <c r="H39" s="1">
        <v>3</v>
      </c>
      <c r="I39" s="1">
        <v>4</v>
      </c>
      <c r="J39" s="1">
        <v>5</v>
      </c>
      <c r="K39" s="1">
        <v>10</v>
      </c>
      <c r="L39" s="1">
        <v>20</v>
      </c>
      <c r="M39" s="1">
        <v>30</v>
      </c>
      <c r="N39" s="1">
        <v>40</v>
      </c>
      <c r="O39" s="1">
        <v>50</v>
      </c>
      <c r="P39" s="1">
        <v>60</v>
      </c>
      <c r="Q39" s="1">
        <v>70</v>
      </c>
    </row>
    <row r="40" spans="4:18" ht="13.5" x14ac:dyDescent="0.2">
      <c r="E40" s="9" t="s">
        <v>6</v>
      </c>
      <c r="F40" s="72">
        <v>10.24</v>
      </c>
      <c r="G40" s="72">
        <v>12.58</v>
      </c>
      <c r="H40" s="73">
        <v>14.6</v>
      </c>
      <c r="I40" s="72">
        <v>16.2</v>
      </c>
      <c r="J40" s="72">
        <v>17.600000000000001</v>
      </c>
      <c r="K40" s="73">
        <v>22</v>
      </c>
      <c r="L40" s="72">
        <v>32</v>
      </c>
      <c r="M40" s="72">
        <v>42</v>
      </c>
      <c r="N40" s="73">
        <v>52</v>
      </c>
      <c r="O40" s="72">
        <v>62.2</v>
      </c>
      <c r="P40" s="72">
        <v>72.400000000000006</v>
      </c>
      <c r="Q40" s="73">
        <v>82.8</v>
      </c>
    </row>
    <row r="41" spans="4:18" ht="13.5" x14ac:dyDescent="0.2">
      <c r="D41">
        <v>0.92300000000000004</v>
      </c>
      <c r="E41" s="76" t="s">
        <v>7</v>
      </c>
      <c r="F41" s="64">
        <f>(F29*$D$41)</f>
        <v>-3.7128321100000004</v>
      </c>
      <c r="G41" s="64">
        <f t="shared" ref="G41:Q41" si="12">(G29*$D$41)</f>
        <v>-7.4342388900000005</v>
      </c>
      <c r="H41" s="65">
        <f t="shared" si="12"/>
        <v>-11.147071</v>
      </c>
      <c r="I41" s="64">
        <f t="shared" si="12"/>
        <v>-14.851328440000001</v>
      </c>
      <c r="J41" s="64">
        <f t="shared" si="12"/>
        <v>-18.56416055</v>
      </c>
      <c r="K41" s="65">
        <f t="shared" si="12"/>
        <v>-37.128321100000001</v>
      </c>
      <c r="L41" s="64">
        <f t="shared" si="12"/>
        <v>-74.256642200000002</v>
      </c>
      <c r="M41" s="64">
        <f t="shared" si="12"/>
        <v>-111.47071000000001</v>
      </c>
      <c r="N41" s="65">
        <f t="shared" si="12"/>
        <v>-148.59903110000002</v>
      </c>
      <c r="O41" s="64">
        <f t="shared" si="12"/>
        <v>-185.6416055</v>
      </c>
      <c r="P41" s="64">
        <f t="shared" si="12"/>
        <v>-222.94142000000002</v>
      </c>
      <c r="Q41" s="65">
        <f t="shared" si="12"/>
        <v>-260.286</v>
      </c>
    </row>
    <row r="42" spans="4:18" ht="15" x14ac:dyDescent="0.2">
      <c r="E42" s="11" t="s">
        <v>8</v>
      </c>
      <c r="F42" s="44">
        <f>F41/F39</f>
        <v>-3.7128321100000004</v>
      </c>
      <c r="G42" s="44">
        <f t="shared" ref="G42:Q42" si="13">G41/G39</f>
        <v>-3.7171194450000002</v>
      </c>
      <c r="H42" s="44">
        <f t="shared" si="13"/>
        <v>-3.7156903333333333</v>
      </c>
      <c r="I42" s="44">
        <f t="shared" si="13"/>
        <v>-3.7128321100000004</v>
      </c>
      <c r="J42" s="44">
        <f t="shared" si="13"/>
        <v>-3.7128321099999999</v>
      </c>
      <c r="K42" s="44">
        <f t="shared" si="13"/>
        <v>-3.7128321099999999</v>
      </c>
      <c r="L42" s="44">
        <f t="shared" si="13"/>
        <v>-3.7128321099999999</v>
      </c>
      <c r="M42" s="44">
        <f t="shared" si="13"/>
        <v>-3.7156903333333338</v>
      </c>
      <c r="N42" s="44">
        <f t="shared" si="13"/>
        <v>-3.7149757775000003</v>
      </c>
      <c r="O42" s="44">
        <f t="shared" si="13"/>
        <v>-3.7128321099999999</v>
      </c>
      <c r="P42" s="44">
        <f t="shared" si="13"/>
        <v>-3.7156903333333338</v>
      </c>
      <c r="Q42" s="44">
        <f t="shared" si="13"/>
        <v>-3.7183714285714284</v>
      </c>
    </row>
    <row r="43" spans="4:18" ht="15" x14ac:dyDescent="0.2">
      <c r="E43" s="8" t="s">
        <v>9</v>
      </c>
      <c r="F43" s="85">
        <f>SQRT(12*32.2*F42^2/(4*$F$7*($F$6*56)*$F$8^2))</f>
        <v>0.5998080253468</v>
      </c>
      <c r="G43" s="85">
        <f t="shared" ref="G43:Q43" si="14">SQRT(12*32.2*G42^2/(4*$F$7*($F$6*56)*$F$8^2))</f>
        <v>0.60050064431371319</v>
      </c>
      <c r="H43" s="86">
        <f t="shared" si="14"/>
        <v>0.60026977132474202</v>
      </c>
      <c r="I43" s="85">
        <f t="shared" si="14"/>
        <v>0.5998080253468</v>
      </c>
      <c r="J43" s="85">
        <f t="shared" si="14"/>
        <v>0.59980802534679989</v>
      </c>
      <c r="K43" s="86">
        <f t="shared" si="14"/>
        <v>0.59980802534679989</v>
      </c>
      <c r="L43" s="85">
        <f t="shared" si="14"/>
        <v>0.59980802534679989</v>
      </c>
      <c r="M43" s="85">
        <f t="shared" si="14"/>
        <v>0.60026977132474213</v>
      </c>
      <c r="N43" s="86">
        <f t="shared" si="14"/>
        <v>0.6001543348302566</v>
      </c>
      <c r="O43" s="85">
        <f t="shared" si="14"/>
        <v>0.59980802534679989</v>
      </c>
      <c r="P43" s="85">
        <f t="shared" si="14"/>
        <v>0.60026977132474213</v>
      </c>
      <c r="Q43" s="86">
        <f t="shared" si="14"/>
        <v>0.60070290225899492</v>
      </c>
      <c r="R43" s="71" t="s">
        <v>84</v>
      </c>
    </row>
    <row r="44" spans="4:18" ht="15" x14ac:dyDescent="0.2">
      <c r="E44" s="14" t="s">
        <v>10</v>
      </c>
      <c r="F44" s="47">
        <f>(F41/F40)*-1</f>
        <v>0.36258126074218755</v>
      </c>
      <c r="G44" s="47">
        <f t="shared" ref="G44:Q44" si="15">(G41/G40)*-1</f>
        <v>0.59095698648648654</v>
      </c>
      <c r="H44" s="48">
        <f t="shared" si="15"/>
        <v>0.76349801369863013</v>
      </c>
      <c r="I44" s="47">
        <f t="shared" si="15"/>
        <v>0.91674866913580255</v>
      </c>
      <c r="J44" s="47">
        <f t="shared" si="15"/>
        <v>1.0547818494318182</v>
      </c>
      <c r="K44" s="48">
        <f t="shared" si="15"/>
        <v>1.6876509590909092</v>
      </c>
      <c r="L44" s="47">
        <f t="shared" si="15"/>
        <v>2.3205200687500001</v>
      </c>
      <c r="M44" s="47">
        <f t="shared" si="15"/>
        <v>2.6540645238095242</v>
      </c>
      <c r="N44" s="48">
        <f t="shared" si="15"/>
        <v>2.8576736750000005</v>
      </c>
      <c r="O44" s="47">
        <f t="shared" si="15"/>
        <v>2.9845917282958196</v>
      </c>
      <c r="P44" s="47">
        <f t="shared" si="15"/>
        <v>3.0793013812154695</v>
      </c>
      <c r="Q44" s="48">
        <f t="shared" si="15"/>
        <v>3.1435507246376813</v>
      </c>
    </row>
    <row r="47" spans="4:18" ht="15" x14ac:dyDescent="0.2">
      <c r="E47" s="1" t="s">
        <v>13</v>
      </c>
      <c r="F47" s="1">
        <v>1</v>
      </c>
      <c r="G47" s="1">
        <v>2</v>
      </c>
      <c r="H47" s="1">
        <v>3</v>
      </c>
      <c r="I47" s="1">
        <v>4</v>
      </c>
      <c r="J47" s="1">
        <v>5</v>
      </c>
      <c r="K47" s="1">
        <v>10</v>
      </c>
      <c r="L47" s="1">
        <v>20</v>
      </c>
      <c r="M47" s="1">
        <v>30</v>
      </c>
      <c r="N47" s="1">
        <v>40</v>
      </c>
      <c r="O47" s="1">
        <v>50</v>
      </c>
      <c r="P47" s="1">
        <v>60</v>
      </c>
      <c r="Q47" s="1">
        <v>70</v>
      </c>
    </row>
    <row r="48" spans="4:18" ht="13.5" x14ac:dyDescent="0.2">
      <c r="E48" s="9" t="s">
        <v>6</v>
      </c>
      <c r="F48" s="42">
        <f t="shared" ref="F48:Q48" si="16">F52/2</f>
        <v>5.12</v>
      </c>
      <c r="G48" s="42">
        <f t="shared" si="16"/>
        <v>6.29</v>
      </c>
      <c r="H48" s="43">
        <f t="shared" si="16"/>
        <v>7.3</v>
      </c>
      <c r="I48" s="42">
        <f t="shared" si="16"/>
        <v>8.1</v>
      </c>
      <c r="J48" s="42">
        <f t="shared" si="16"/>
        <v>8.8000000000000007</v>
      </c>
      <c r="K48" s="43">
        <f t="shared" si="16"/>
        <v>11</v>
      </c>
      <c r="L48" s="42">
        <f t="shared" si="16"/>
        <v>16</v>
      </c>
      <c r="M48" s="42">
        <f t="shared" si="16"/>
        <v>21</v>
      </c>
      <c r="N48" s="43">
        <f t="shared" si="16"/>
        <v>26</v>
      </c>
      <c r="O48" s="42">
        <f t="shared" si="16"/>
        <v>31.1</v>
      </c>
      <c r="P48" s="42">
        <f t="shared" si="16"/>
        <v>36.200000000000003</v>
      </c>
      <c r="Q48" s="43">
        <f t="shared" si="16"/>
        <v>41.4</v>
      </c>
    </row>
    <row r="49" spans="4:18" ht="13.5" x14ac:dyDescent="0.2">
      <c r="E49" s="9" t="s">
        <v>7</v>
      </c>
      <c r="F49" s="42">
        <f t="shared" ref="F49:Q49" si="17">F53/2</f>
        <v>-1.7004771063800002</v>
      </c>
      <c r="G49" s="42">
        <f t="shared" si="17"/>
        <v>-3.4048814116200004</v>
      </c>
      <c r="H49" s="43">
        <f t="shared" si="17"/>
        <v>-5.1053585180000001</v>
      </c>
      <c r="I49" s="42">
        <f t="shared" si="17"/>
        <v>-6.8019084255200006</v>
      </c>
      <c r="J49" s="42">
        <f t="shared" si="17"/>
        <v>-8.5023855318999999</v>
      </c>
      <c r="K49" s="43">
        <f t="shared" si="17"/>
        <v>-17.0047710638</v>
      </c>
      <c r="L49" s="42">
        <f t="shared" si="17"/>
        <v>-34.0095421276</v>
      </c>
      <c r="M49" s="42">
        <f t="shared" si="17"/>
        <v>-51.053585180000006</v>
      </c>
      <c r="N49" s="43">
        <f t="shared" si="17"/>
        <v>-68.058356243800006</v>
      </c>
      <c r="O49" s="42">
        <f t="shared" si="17"/>
        <v>-85.023855319000006</v>
      </c>
      <c r="P49" s="42">
        <f t="shared" si="17"/>
        <v>-102.10717036000001</v>
      </c>
      <c r="Q49" s="43">
        <f t="shared" si="17"/>
        <v>-119.210988</v>
      </c>
    </row>
    <row r="50" spans="4:18" ht="13.5" x14ac:dyDescent="0.2">
      <c r="E50" s="49"/>
      <c r="F50" s="50"/>
      <c r="G50" s="52"/>
      <c r="H50" s="52"/>
      <c r="I50" s="52"/>
      <c r="J50" s="52"/>
      <c r="K50" s="52"/>
      <c r="L50" s="52"/>
      <c r="M50" s="52"/>
      <c r="N50" s="52"/>
      <c r="P50" s="52"/>
      <c r="Q50" s="52"/>
    </row>
    <row r="51" spans="4:18" ht="15" x14ac:dyDescent="0.2">
      <c r="E51" s="1"/>
      <c r="F51" s="1">
        <v>1</v>
      </c>
      <c r="G51" s="1">
        <v>2</v>
      </c>
      <c r="H51" s="1">
        <v>3</v>
      </c>
      <c r="I51" s="1">
        <v>4</v>
      </c>
      <c r="J51" s="1">
        <v>5</v>
      </c>
      <c r="K51" s="1">
        <v>10</v>
      </c>
      <c r="L51" s="1">
        <v>20</v>
      </c>
      <c r="M51" s="1">
        <v>30</v>
      </c>
      <c r="N51" s="1">
        <v>40</v>
      </c>
      <c r="O51" s="1">
        <v>50</v>
      </c>
      <c r="P51" s="1">
        <v>60</v>
      </c>
      <c r="Q51" s="1">
        <v>70</v>
      </c>
    </row>
    <row r="52" spans="4:18" ht="13.5" x14ac:dyDescent="0.2">
      <c r="E52" s="9" t="s">
        <v>6</v>
      </c>
      <c r="F52" s="72">
        <v>10.24</v>
      </c>
      <c r="G52" s="72">
        <v>12.58</v>
      </c>
      <c r="H52" s="73">
        <v>14.6</v>
      </c>
      <c r="I52" s="72">
        <v>16.2</v>
      </c>
      <c r="J52" s="72">
        <v>17.600000000000001</v>
      </c>
      <c r="K52" s="73">
        <v>22</v>
      </c>
      <c r="L52" s="72">
        <v>32</v>
      </c>
      <c r="M52" s="72">
        <v>42</v>
      </c>
      <c r="N52" s="73">
        <v>52</v>
      </c>
      <c r="O52" s="72">
        <v>62.2</v>
      </c>
      <c r="P52" s="72">
        <v>72.400000000000006</v>
      </c>
      <c r="Q52" s="73">
        <v>82.8</v>
      </c>
    </row>
    <row r="53" spans="4:18" ht="13.5" x14ac:dyDescent="0.2">
      <c r="D53">
        <v>0.91600000000000004</v>
      </c>
      <c r="E53" s="76" t="s">
        <v>7</v>
      </c>
      <c r="F53" s="64">
        <f>(F41*$D$53)</f>
        <v>-3.4009542127600003</v>
      </c>
      <c r="G53" s="64">
        <f t="shared" ref="G53:Q53" si="18">(G41*$D$53)</f>
        <v>-6.8097628232400007</v>
      </c>
      <c r="H53" s="65">
        <f t="shared" si="18"/>
        <v>-10.210717036</v>
      </c>
      <c r="I53" s="64">
        <f t="shared" si="18"/>
        <v>-13.603816851040001</v>
      </c>
      <c r="J53" s="64">
        <f t="shared" si="18"/>
        <v>-17.0047710638</v>
      </c>
      <c r="K53" s="65">
        <f t="shared" si="18"/>
        <v>-34.0095421276</v>
      </c>
      <c r="L53" s="64">
        <f t="shared" si="18"/>
        <v>-68.019084255199999</v>
      </c>
      <c r="M53" s="64">
        <f t="shared" si="18"/>
        <v>-102.10717036000001</v>
      </c>
      <c r="N53" s="65">
        <f t="shared" si="18"/>
        <v>-136.11671248760001</v>
      </c>
      <c r="O53" s="64">
        <f t="shared" si="18"/>
        <v>-170.04771063800001</v>
      </c>
      <c r="P53" s="64">
        <f t="shared" si="18"/>
        <v>-204.21434072000002</v>
      </c>
      <c r="Q53" s="65">
        <f t="shared" si="18"/>
        <v>-238.421976</v>
      </c>
    </row>
    <row r="54" spans="4:18" ht="15" x14ac:dyDescent="0.2">
      <c r="E54" s="11" t="s">
        <v>8</v>
      </c>
      <c r="F54" s="44">
        <f>F53/F51</f>
        <v>-3.4009542127600003</v>
      </c>
      <c r="G54" s="44">
        <f t="shared" ref="G54:Q54" si="19">G53/G51</f>
        <v>-3.4048814116200004</v>
      </c>
      <c r="H54" s="44">
        <f t="shared" si="19"/>
        <v>-3.4035723453333335</v>
      </c>
      <c r="I54" s="44">
        <f t="shared" si="19"/>
        <v>-3.4009542127600003</v>
      </c>
      <c r="J54" s="44">
        <f t="shared" si="19"/>
        <v>-3.4009542127599999</v>
      </c>
      <c r="K54" s="44">
        <f t="shared" si="19"/>
        <v>-3.4009542127599999</v>
      </c>
      <c r="L54" s="44">
        <f t="shared" si="19"/>
        <v>-3.4009542127599999</v>
      </c>
      <c r="M54" s="44">
        <f t="shared" si="19"/>
        <v>-3.4035723453333335</v>
      </c>
      <c r="N54" s="44">
        <f t="shared" si="19"/>
        <v>-3.4029178121900001</v>
      </c>
      <c r="O54" s="44">
        <f t="shared" si="19"/>
        <v>-3.4009542127600003</v>
      </c>
      <c r="P54" s="44">
        <f t="shared" si="19"/>
        <v>-3.4035723453333335</v>
      </c>
      <c r="Q54" s="44">
        <f t="shared" si="19"/>
        <v>-3.4060282285714285</v>
      </c>
    </row>
    <row r="55" spans="4:18" ht="15" x14ac:dyDescent="0.2">
      <c r="E55" s="8" t="s">
        <v>9</v>
      </c>
      <c r="F55" s="85">
        <f>SQRT(12*32.2*F54^2/(4*$F$7*($F$6*56)*$F$8^2))</f>
        <v>0.54942415121766874</v>
      </c>
      <c r="G55" s="85">
        <f t="shared" ref="G55:Q55" si="20">SQRT(12*32.2*G54^2/(4*$F$7*($F$6*56)*$F$8^2))</f>
        <v>0.55005859019136127</v>
      </c>
      <c r="H55" s="86">
        <f t="shared" si="20"/>
        <v>0.5498471105334638</v>
      </c>
      <c r="I55" s="85">
        <f t="shared" si="20"/>
        <v>0.54942415121766874</v>
      </c>
      <c r="J55" s="85">
        <f t="shared" si="20"/>
        <v>0.54942415121766863</v>
      </c>
      <c r="K55" s="86">
        <f t="shared" si="20"/>
        <v>0.54942415121766863</v>
      </c>
      <c r="L55" s="85">
        <f t="shared" si="20"/>
        <v>0.54942415121766863</v>
      </c>
      <c r="M55" s="85">
        <f t="shared" si="20"/>
        <v>0.5498471105334638</v>
      </c>
      <c r="N55" s="86">
        <f t="shared" si="20"/>
        <v>0.54974137070451501</v>
      </c>
      <c r="O55" s="85">
        <f t="shared" si="20"/>
        <v>0.54942415121766874</v>
      </c>
      <c r="P55" s="85">
        <f t="shared" si="20"/>
        <v>0.5498471105334638</v>
      </c>
      <c r="Q55" s="86">
        <f t="shared" si="20"/>
        <v>0.5502438584692394</v>
      </c>
      <c r="R55" s="71" t="s">
        <v>85</v>
      </c>
    </row>
    <row r="56" spans="4:18" ht="15" x14ac:dyDescent="0.2">
      <c r="E56" s="14" t="s">
        <v>10</v>
      </c>
      <c r="F56" s="47">
        <f>(F53/F52)*-1</f>
        <v>0.33212443483984377</v>
      </c>
      <c r="G56" s="47">
        <f t="shared" ref="G56:Q56" si="21">(G53/G52)*-1</f>
        <v>0.54131659962162171</v>
      </c>
      <c r="H56" s="48">
        <f t="shared" si="21"/>
        <v>0.69936418054794525</v>
      </c>
      <c r="I56" s="47">
        <f t="shared" si="21"/>
        <v>0.83974178092839513</v>
      </c>
      <c r="J56" s="47">
        <f t="shared" si="21"/>
        <v>0.96618017407954537</v>
      </c>
      <c r="K56" s="48">
        <f t="shared" si="21"/>
        <v>1.5458882785272727</v>
      </c>
      <c r="L56" s="47">
        <f t="shared" si="21"/>
        <v>2.125596382975</v>
      </c>
      <c r="M56" s="47">
        <f t="shared" si="21"/>
        <v>2.431123103809524</v>
      </c>
      <c r="N56" s="48">
        <f t="shared" si="21"/>
        <v>2.6176290863</v>
      </c>
      <c r="O56" s="47">
        <f t="shared" si="21"/>
        <v>2.7338860231189712</v>
      </c>
      <c r="P56" s="47">
        <f t="shared" si="21"/>
        <v>2.8206400651933703</v>
      </c>
      <c r="Q56" s="48">
        <f t="shared" si="21"/>
        <v>2.8794924637681159</v>
      </c>
    </row>
    <row r="59" spans="4:18" ht="15" x14ac:dyDescent="0.2">
      <c r="E59" s="1" t="s">
        <v>13</v>
      </c>
      <c r="F59" s="1">
        <v>1</v>
      </c>
      <c r="G59" s="1">
        <v>2</v>
      </c>
      <c r="H59" s="1">
        <v>3</v>
      </c>
      <c r="I59" s="1">
        <v>4</v>
      </c>
      <c r="J59" s="1">
        <v>5</v>
      </c>
      <c r="K59" s="1">
        <v>10</v>
      </c>
      <c r="L59" s="1">
        <v>20</v>
      </c>
      <c r="M59" s="1">
        <v>30</v>
      </c>
      <c r="N59" s="1">
        <v>40</v>
      </c>
      <c r="O59" s="1">
        <v>50</v>
      </c>
      <c r="P59" s="1">
        <v>60</v>
      </c>
      <c r="Q59" s="1">
        <v>70</v>
      </c>
    </row>
    <row r="60" spans="4:18" ht="13.5" x14ac:dyDescent="0.2">
      <c r="E60" s="9" t="s">
        <v>6</v>
      </c>
      <c r="F60" s="42">
        <f t="shared" ref="F60:Q60" si="22">F64/2</f>
        <v>5.12</v>
      </c>
      <c r="G60" s="42">
        <f t="shared" si="22"/>
        <v>6.29</v>
      </c>
      <c r="H60" s="43">
        <f t="shared" si="22"/>
        <v>7.3</v>
      </c>
      <c r="I60" s="42">
        <f t="shared" si="22"/>
        <v>8.1</v>
      </c>
      <c r="J60" s="42">
        <f t="shared" si="22"/>
        <v>8.8000000000000007</v>
      </c>
      <c r="K60" s="43">
        <f t="shared" si="22"/>
        <v>11</v>
      </c>
      <c r="L60" s="42">
        <f t="shared" si="22"/>
        <v>16</v>
      </c>
      <c r="M60" s="42">
        <f t="shared" si="22"/>
        <v>21</v>
      </c>
      <c r="N60" s="43">
        <f t="shared" si="22"/>
        <v>26</v>
      </c>
      <c r="O60" s="42">
        <f t="shared" si="22"/>
        <v>31.1</v>
      </c>
      <c r="P60" s="42">
        <f t="shared" si="22"/>
        <v>36.200000000000003</v>
      </c>
      <c r="Q60" s="43">
        <f t="shared" si="22"/>
        <v>41.4</v>
      </c>
    </row>
    <row r="61" spans="4:18" ht="13.5" x14ac:dyDescent="0.2">
      <c r="E61" s="9" t="s">
        <v>7</v>
      </c>
      <c r="F61" s="42">
        <f t="shared" ref="F61:Q61" si="23">F65/2</f>
        <v>-1.5474341668058003</v>
      </c>
      <c r="G61" s="42">
        <f t="shared" si="23"/>
        <v>-3.0984420845742005</v>
      </c>
      <c r="H61" s="43">
        <f t="shared" si="23"/>
        <v>-4.6458762513799998</v>
      </c>
      <c r="I61" s="42">
        <f t="shared" si="23"/>
        <v>-6.189736667223201</v>
      </c>
      <c r="J61" s="42">
        <f t="shared" si="23"/>
        <v>-7.7371708340290004</v>
      </c>
      <c r="K61" s="43">
        <f t="shared" si="23"/>
        <v>-15.474341668058001</v>
      </c>
      <c r="L61" s="42">
        <f t="shared" si="23"/>
        <v>-30.948683336116002</v>
      </c>
      <c r="M61" s="42">
        <f t="shared" si="23"/>
        <v>-46.458762513800004</v>
      </c>
      <c r="N61" s="43">
        <f t="shared" si="23"/>
        <v>-61.933104181858006</v>
      </c>
      <c r="O61" s="42">
        <f t="shared" si="23"/>
        <v>-77.371708340290013</v>
      </c>
      <c r="P61" s="42">
        <f t="shared" si="23"/>
        <v>-92.917525027600007</v>
      </c>
      <c r="Q61" s="43">
        <f t="shared" si="23"/>
        <v>-108.48199908000001</v>
      </c>
    </row>
    <row r="62" spans="4:18" ht="13.5" x14ac:dyDescent="0.2">
      <c r="E62" s="49"/>
      <c r="F62" s="50"/>
      <c r="G62" s="52"/>
      <c r="H62" s="52"/>
      <c r="I62" s="52"/>
      <c r="J62" s="52"/>
      <c r="K62" s="52"/>
      <c r="L62" s="52"/>
      <c r="M62" s="52"/>
      <c r="N62" s="52"/>
      <c r="P62" s="52"/>
      <c r="Q62" s="52"/>
    </row>
    <row r="63" spans="4:18" ht="15" x14ac:dyDescent="0.2">
      <c r="E63" s="1"/>
      <c r="F63" s="1">
        <v>1</v>
      </c>
      <c r="G63" s="1">
        <v>2</v>
      </c>
      <c r="H63" s="1">
        <v>3</v>
      </c>
      <c r="I63" s="1">
        <v>4</v>
      </c>
      <c r="J63" s="1">
        <v>5</v>
      </c>
      <c r="K63" s="1">
        <v>10</v>
      </c>
      <c r="L63" s="1">
        <v>20</v>
      </c>
      <c r="M63" s="1">
        <v>30</v>
      </c>
      <c r="N63" s="1">
        <v>40</v>
      </c>
      <c r="O63" s="1">
        <v>50</v>
      </c>
      <c r="P63" s="1">
        <v>60</v>
      </c>
      <c r="Q63" s="1">
        <v>70</v>
      </c>
    </row>
    <row r="64" spans="4:18" ht="13.5" x14ac:dyDescent="0.2">
      <c r="E64" s="9" t="s">
        <v>6</v>
      </c>
      <c r="F64" s="72">
        <v>10.24</v>
      </c>
      <c r="G64" s="72">
        <v>12.58</v>
      </c>
      <c r="H64" s="73">
        <v>14.6</v>
      </c>
      <c r="I64" s="72">
        <v>16.2</v>
      </c>
      <c r="J64" s="72">
        <v>17.600000000000001</v>
      </c>
      <c r="K64" s="73">
        <v>22</v>
      </c>
      <c r="L64" s="72">
        <v>32</v>
      </c>
      <c r="M64" s="72">
        <v>42</v>
      </c>
      <c r="N64" s="73">
        <v>52</v>
      </c>
      <c r="O64" s="72">
        <v>62.2</v>
      </c>
      <c r="P64" s="72">
        <v>72.400000000000006</v>
      </c>
      <c r="Q64" s="73">
        <v>82.8</v>
      </c>
    </row>
    <row r="65" spans="4:18" ht="13.5" x14ac:dyDescent="0.2">
      <c r="D65">
        <v>0.91</v>
      </c>
      <c r="E65" s="76" t="s">
        <v>7</v>
      </c>
      <c r="F65" s="64">
        <f>(F53*$D$65)</f>
        <v>-3.0948683336116005</v>
      </c>
      <c r="G65" s="64">
        <f t="shared" ref="G65:Q65" si="24">(G53*$D$65)</f>
        <v>-6.1968841691484009</v>
      </c>
      <c r="H65" s="65">
        <f t="shared" si="24"/>
        <v>-9.2917525027599996</v>
      </c>
      <c r="I65" s="64">
        <f t="shared" si="24"/>
        <v>-12.379473334446402</v>
      </c>
      <c r="J65" s="64">
        <f t="shared" si="24"/>
        <v>-15.474341668058001</v>
      </c>
      <c r="K65" s="65">
        <f t="shared" si="24"/>
        <v>-30.948683336116002</v>
      </c>
      <c r="L65" s="64">
        <f t="shared" si="24"/>
        <v>-61.897366672232003</v>
      </c>
      <c r="M65" s="64">
        <f t="shared" si="24"/>
        <v>-92.917525027600007</v>
      </c>
      <c r="N65" s="65">
        <f t="shared" si="24"/>
        <v>-123.86620836371601</v>
      </c>
      <c r="O65" s="64">
        <f t="shared" si="24"/>
        <v>-154.74341668058003</v>
      </c>
      <c r="P65" s="64">
        <f t="shared" si="24"/>
        <v>-185.83505005520001</v>
      </c>
      <c r="Q65" s="65">
        <f t="shared" si="24"/>
        <v>-216.96399816000002</v>
      </c>
    </row>
    <row r="66" spans="4:18" ht="15" x14ac:dyDescent="0.2">
      <c r="E66" s="11" t="s">
        <v>8</v>
      </c>
      <c r="F66" s="44">
        <f>F65/F63</f>
        <v>-3.0948683336116005</v>
      </c>
      <c r="G66" s="44">
        <f t="shared" ref="G66:Q66" si="25">G65/G63</f>
        <v>-3.0984420845742005</v>
      </c>
      <c r="H66" s="44">
        <f t="shared" si="25"/>
        <v>-3.0972508342533334</v>
      </c>
      <c r="I66" s="44">
        <f t="shared" si="25"/>
        <v>-3.0948683336116005</v>
      </c>
      <c r="J66" s="44">
        <f t="shared" si="25"/>
        <v>-3.0948683336116001</v>
      </c>
      <c r="K66" s="44">
        <f t="shared" si="25"/>
        <v>-3.0948683336116001</v>
      </c>
      <c r="L66" s="44">
        <f t="shared" si="25"/>
        <v>-3.0948683336116001</v>
      </c>
      <c r="M66" s="44">
        <f t="shared" si="25"/>
        <v>-3.0972508342533334</v>
      </c>
      <c r="N66" s="44">
        <f t="shared" si="25"/>
        <v>-3.0966552090929005</v>
      </c>
      <c r="O66" s="44">
        <f t="shared" si="25"/>
        <v>-3.0948683336116005</v>
      </c>
      <c r="P66" s="44">
        <f t="shared" si="25"/>
        <v>-3.0972508342533334</v>
      </c>
      <c r="Q66" s="44">
        <f t="shared" si="25"/>
        <v>-3.0994856880000001</v>
      </c>
    </row>
    <row r="67" spans="4:18" ht="15" x14ac:dyDescent="0.2">
      <c r="E67" s="8" t="s">
        <v>9</v>
      </c>
      <c r="F67" s="85">
        <f>SQRT(12*32.2*F66^2/(4*$F$7*($F$6*56)*$F$8^2))</f>
        <v>0.49997597760807866</v>
      </c>
      <c r="G67" s="85">
        <f t="shared" ref="G67:Q67" si="26">SQRT(12*32.2*G66^2/(4*$F$7*($F$6*56)*$F$8^2))</f>
        <v>0.50055331707413875</v>
      </c>
      <c r="H67" s="86">
        <f t="shared" si="26"/>
        <v>0.50036087058545198</v>
      </c>
      <c r="I67" s="85">
        <f t="shared" si="26"/>
        <v>0.49997597760807866</v>
      </c>
      <c r="J67" s="85">
        <f t="shared" si="26"/>
        <v>0.49997597760807855</v>
      </c>
      <c r="K67" s="86">
        <f t="shared" si="26"/>
        <v>0.49997597760807855</v>
      </c>
      <c r="L67" s="85">
        <f t="shared" si="26"/>
        <v>0.49997597760807855</v>
      </c>
      <c r="M67" s="85">
        <f t="shared" si="26"/>
        <v>0.50036087058545198</v>
      </c>
      <c r="N67" s="86">
        <f t="shared" si="26"/>
        <v>0.50026464734110865</v>
      </c>
      <c r="O67" s="85">
        <f t="shared" si="26"/>
        <v>0.49997597760807866</v>
      </c>
      <c r="P67" s="85">
        <f t="shared" si="26"/>
        <v>0.50036087058545198</v>
      </c>
      <c r="Q67" s="86">
        <f t="shared" si="26"/>
        <v>0.50072191120700782</v>
      </c>
      <c r="R67" s="71" t="s">
        <v>86</v>
      </c>
    </row>
    <row r="68" spans="4:18" ht="15" x14ac:dyDescent="0.2">
      <c r="E68" s="14" t="s">
        <v>10</v>
      </c>
      <c r="F68" s="47">
        <f>(F65/F64)*-1</f>
        <v>0.30223323570425786</v>
      </c>
      <c r="G68" s="47">
        <f t="shared" ref="G68:Q68" si="27">(G65/G64)*-1</f>
        <v>0.49259810565567574</v>
      </c>
      <c r="H68" s="48">
        <f t="shared" si="27"/>
        <v>0.63642140429863014</v>
      </c>
      <c r="I68" s="47">
        <f t="shared" si="27"/>
        <v>0.76416502064483971</v>
      </c>
      <c r="J68" s="47">
        <f t="shared" si="27"/>
        <v>0.87922395841238632</v>
      </c>
      <c r="K68" s="48">
        <f t="shared" si="27"/>
        <v>1.4067583334598182</v>
      </c>
      <c r="L68" s="47">
        <f t="shared" si="27"/>
        <v>1.9342927085072501</v>
      </c>
      <c r="M68" s="47">
        <f t="shared" si="27"/>
        <v>2.2123220244666668</v>
      </c>
      <c r="N68" s="48">
        <f t="shared" si="27"/>
        <v>2.3820424685330002</v>
      </c>
      <c r="O68" s="47">
        <f t="shared" si="27"/>
        <v>2.4878362810382639</v>
      </c>
      <c r="P68" s="47">
        <f t="shared" si="27"/>
        <v>2.5667824593259669</v>
      </c>
      <c r="Q68" s="48">
        <f t="shared" si="27"/>
        <v>2.6203381420289857</v>
      </c>
    </row>
    <row r="71" spans="4:18" ht="15" x14ac:dyDescent="0.2">
      <c r="E71" s="1" t="s">
        <v>13</v>
      </c>
      <c r="F71" s="1">
        <v>1</v>
      </c>
      <c r="G71" s="1">
        <v>2</v>
      </c>
      <c r="H71" s="1">
        <v>3</v>
      </c>
      <c r="I71" s="1">
        <v>4</v>
      </c>
      <c r="J71" s="1">
        <v>5</v>
      </c>
      <c r="K71" s="1">
        <v>10</v>
      </c>
      <c r="L71" s="1">
        <v>20</v>
      </c>
      <c r="M71" s="1">
        <v>30</v>
      </c>
      <c r="N71" s="1">
        <v>40</v>
      </c>
      <c r="O71" s="1">
        <v>50</v>
      </c>
      <c r="P71" s="1">
        <v>60</v>
      </c>
      <c r="Q71" s="1">
        <v>70</v>
      </c>
    </row>
    <row r="72" spans="4:18" ht="13.5" x14ac:dyDescent="0.2">
      <c r="E72" s="9" t="s">
        <v>6</v>
      </c>
      <c r="F72" s="42">
        <f t="shared" ref="F72:Q72" si="28">F76/2</f>
        <v>5.12</v>
      </c>
      <c r="G72" s="42">
        <f t="shared" si="28"/>
        <v>6.29</v>
      </c>
      <c r="H72" s="43">
        <f t="shared" si="28"/>
        <v>7.3</v>
      </c>
      <c r="I72" s="42">
        <f t="shared" si="28"/>
        <v>8.1</v>
      </c>
      <c r="J72" s="42">
        <f t="shared" si="28"/>
        <v>8.8000000000000007</v>
      </c>
      <c r="K72" s="43">
        <f t="shared" si="28"/>
        <v>11</v>
      </c>
      <c r="L72" s="42">
        <f t="shared" si="28"/>
        <v>16</v>
      </c>
      <c r="M72" s="42">
        <f t="shared" si="28"/>
        <v>21</v>
      </c>
      <c r="N72" s="43">
        <f t="shared" si="28"/>
        <v>26</v>
      </c>
      <c r="O72" s="42">
        <f t="shared" si="28"/>
        <v>31.1</v>
      </c>
      <c r="P72" s="42">
        <f t="shared" si="28"/>
        <v>36.200000000000003</v>
      </c>
      <c r="Q72" s="43">
        <f t="shared" si="28"/>
        <v>41.4</v>
      </c>
    </row>
    <row r="73" spans="4:18" ht="13.5" x14ac:dyDescent="0.2">
      <c r="E73" s="9" t="s">
        <v>7</v>
      </c>
      <c r="F73" s="42">
        <f t="shared" ref="F73:Q73" si="29">F77/2</f>
        <v>-1.3926907501252204</v>
      </c>
      <c r="G73" s="42">
        <f t="shared" si="29"/>
        <v>-2.7885978761167807</v>
      </c>
      <c r="H73" s="43">
        <f t="shared" si="29"/>
        <v>-4.1812886262419999</v>
      </c>
      <c r="I73" s="42">
        <f t="shared" si="29"/>
        <v>-5.5707630005008815</v>
      </c>
      <c r="J73" s="42">
        <f t="shared" si="29"/>
        <v>-6.9634537506261003</v>
      </c>
      <c r="K73" s="43">
        <f t="shared" si="29"/>
        <v>-13.926907501252201</v>
      </c>
      <c r="L73" s="42">
        <f t="shared" si="29"/>
        <v>-27.853815002504401</v>
      </c>
      <c r="M73" s="42">
        <f t="shared" si="29"/>
        <v>-41.812886262420001</v>
      </c>
      <c r="N73" s="43">
        <f t="shared" si="29"/>
        <v>-55.739793763672203</v>
      </c>
      <c r="O73" s="42">
        <f t="shared" si="29"/>
        <v>-69.634537506261012</v>
      </c>
      <c r="P73" s="42">
        <f t="shared" si="29"/>
        <v>-83.625772524840002</v>
      </c>
      <c r="Q73" s="43">
        <f t="shared" si="29"/>
        <v>-97.63379917200001</v>
      </c>
    </row>
    <row r="74" spans="4:18" ht="13.5" x14ac:dyDescent="0.2">
      <c r="E74" s="49"/>
      <c r="F74" s="50"/>
      <c r="G74" s="52"/>
      <c r="H74" s="52"/>
      <c r="I74" s="52"/>
      <c r="J74" s="52"/>
      <c r="K74" s="52"/>
      <c r="L74" s="52"/>
      <c r="M74" s="52"/>
      <c r="N74" s="52"/>
      <c r="P74" s="52"/>
      <c r="Q74" s="52"/>
    </row>
    <row r="75" spans="4:18" ht="15" x14ac:dyDescent="0.2">
      <c r="E75" s="1"/>
      <c r="F75" s="1">
        <v>1</v>
      </c>
      <c r="G75" s="1">
        <v>2</v>
      </c>
      <c r="H75" s="1">
        <v>3</v>
      </c>
      <c r="I75" s="1">
        <v>4</v>
      </c>
      <c r="J75" s="1">
        <v>5</v>
      </c>
      <c r="K75" s="1">
        <v>10</v>
      </c>
      <c r="L75" s="1">
        <v>20</v>
      </c>
      <c r="M75" s="1">
        <v>30</v>
      </c>
      <c r="N75" s="1">
        <v>40</v>
      </c>
      <c r="O75" s="1">
        <v>50</v>
      </c>
      <c r="P75" s="1">
        <v>60</v>
      </c>
      <c r="Q75" s="1">
        <v>70</v>
      </c>
    </row>
    <row r="76" spans="4:18" ht="13.5" x14ac:dyDescent="0.2">
      <c r="E76" s="9" t="s">
        <v>6</v>
      </c>
      <c r="F76" s="72">
        <v>10.24</v>
      </c>
      <c r="G76" s="72">
        <v>12.58</v>
      </c>
      <c r="H76" s="73">
        <v>14.6</v>
      </c>
      <c r="I76" s="72">
        <v>16.2</v>
      </c>
      <c r="J76" s="72">
        <v>17.600000000000001</v>
      </c>
      <c r="K76" s="73">
        <v>22</v>
      </c>
      <c r="L76" s="72">
        <v>32</v>
      </c>
      <c r="M76" s="72">
        <v>42</v>
      </c>
      <c r="N76" s="73">
        <v>52</v>
      </c>
      <c r="O76" s="72">
        <v>62.2</v>
      </c>
      <c r="P76" s="72">
        <v>72.400000000000006</v>
      </c>
      <c r="Q76" s="73">
        <v>82.8</v>
      </c>
    </row>
    <row r="77" spans="4:18" ht="13.5" x14ac:dyDescent="0.2">
      <c r="D77">
        <v>0.9</v>
      </c>
      <c r="E77" s="76" t="s">
        <v>7</v>
      </c>
      <c r="F77" s="64">
        <f>(F65*$D$77)</f>
        <v>-2.7853815002504407</v>
      </c>
      <c r="G77" s="64">
        <f t="shared" ref="G77:Q77" si="30">(G65*$D$77)</f>
        <v>-5.5771957522335613</v>
      </c>
      <c r="H77" s="65">
        <f t="shared" si="30"/>
        <v>-8.3625772524839999</v>
      </c>
      <c r="I77" s="64">
        <f t="shared" si="30"/>
        <v>-11.141526001001763</v>
      </c>
      <c r="J77" s="64">
        <f t="shared" si="30"/>
        <v>-13.926907501252201</v>
      </c>
      <c r="K77" s="65">
        <f t="shared" si="30"/>
        <v>-27.853815002504401</v>
      </c>
      <c r="L77" s="64">
        <f t="shared" si="30"/>
        <v>-55.707630005008802</v>
      </c>
      <c r="M77" s="64">
        <f t="shared" si="30"/>
        <v>-83.625772524840002</v>
      </c>
      <c r="N77" s="65">
        <f t="shared" si="30"/>
        <v>-111.47958752734441</v>
      </c>
      <c r="O77" s="64">
        <f t="shared" si="30"/>
        <v>-139.26907501252202</v>
      </c>
      <c r="P77" s="64">
        <f t="shared" si="30"/>
        <v>-167.25154504968</v>
      </c>
      <c r="Q77" s="65">
        <f t="shared" si="30"/>
        <v>-195.26759834400002</v>
      </c>
    </row>
    <row r="78" spans="4:18" ht="15" x14ac:dyDescent="0.2">
      <c r="E78" s="11" t="s">
        <v>8</v>
      </c>
      <c r="F78" s="44">
        <f>F77/F75</f>
        <v>-2.7853815002504407</v>
      </c>
      <c r="G78" s="44">
        <f t="shared" ref="G78:Q78" si="31">G77/G75</f>
        <v>-2.7885978761167807</v>
      </c>
      <c r="H78" s="44">
        <f t="shared" si="31"/>
        <v>-2.7875257508279998</v>
      </c>
      <c r="I78" s="44">
        <f t="shared" si="31"/>
        <v>-2.7853815002504407</v>
      </c>
      <c r="J78" s="44">
        <f t="shared" si="31"/>
        <v>-2.7853815002504403</v>
      </c>
      <c r="K78" s="44">
        <f t="shared" si="31"/>
        <v>-2.7853815002504403</v>
      </c>
      <c r="L78" s="44">
        <f t="shared" si="31"/>
        <v>-2.7853815002504403</v>
      </c>
      <c r="M78" s="44">
        <f t="shared" si="31"/>
        <v>-2.7875257508280002</v>
      </c>
      <c r="N78" s="44">
        <f t="shared" si="31"/>
        <v>-2.7869896881836103</v>
      </c>
      <c r="O78" s="44">
        <f t="shared" si="31"/>
        <v>-2.7853815002504403</v>
      </c>
      <c r="P78" s="44">
        <f t="shared" si="31"/>
        <v>-2.7875257508280002</v>
      </c>
      <c r="Q78" s="44">
        <f t="shared" si="31"/>
        <v>-2.7895371192000002</v>
      </c>
    </row>
    <row r="79" spans="4:18" ht="15" x14ac:dyDescent="0.2">
      <c r="E79" s="8" t="s">
        <v>9</v>
      </c>
      <c r="F79" s="85">
        <f>SQRT(12*32.2*F78^2/(4*$F$7*($F$6*56)*$F$8^2))</f>
        <v>0.44997837984727079</v>
      </c>
      <c r="G79" s="85">
        <f t="shared" ref="G79:Q79" si="32">SQRT(12*32.2*G78^2/(4*$F$7*($F$6*56)*$F$8^2))</f>
        <v>0.45049798536672492</v>
      </c>
      <c r="H79" s="86">
        <f t="shared" si="32"/>
        <v>0.45032478352690675</v>
      </c>
      <c r="I79" s="85">
        <f t="shared" si="32"/>
        <v>0.44997837984727079</v>
      </c>
      <c r="J79" s="85">
        <f t="shared" si="32"/>
        <v>0.44997837984727074</v>
      </c>
      <c r="K79" s="86">
        <f t="shared" si="32"/>
        <v>0.44997837984727074</v>
      </c>
      <c r="L79" s="85">
        <f t="shared" si="32"/>
        <v>0.44997837984727074</v>
      </c>
      <c r="M79" s="85">
        <f t="shared" si="32"/>
        <v>0.4503247835269068</v>
      </c>
      <c r="N79" s="86">
        <f t="shared" si="32"/>
        <v>0.45023818260699777</v>
      </c>
      <c r="O79" s="85">
        <f t="shared" si="32"/>
        <v>0.44997837984727074</v>
      </c>
      <c r="P79" s="85">
        <f t="shared" si="32"/>
        <v>0.4503247835269068</v>
      </c>
      <c r="Q79" s="86">
        <f t="shared" si="32"/>
        <v>0.4506497200863071</v>
      </c>
      <c r="R79" s="71" t="s">
        <v>87</v>
      </c>
    </row>
    <row r="80" spans="4:18" ht="15" x14ac:dyDescent="0.2">
      <c r="E80" s="14" t="s">
        <v>10</v>
      </c>
      <c r="F80" s="47">
        <f>(F77/F76)*-1</f>
        <v>0.27200991213383208</v>
      </c>
      <c r="G80" s="47">
        <f t="shared" ref="G80:Q80" si="33">(G77/G76)*-1</f>
        <v>0.44333829509010819</v>
      </c>
      <c r="H80" s="48">
        <f t="shared" si="33"/>
        <v>0.5727792638687671</v>
      </c>
      <c r="I80" s="47">
        <f t="shared" si="33"/>
        <v>0.68774851858035579</v>
      </c>
      <c r="J80" s="47">
        <f t="shared" si="33"/>
        <v>0.7913015625711477</v>
      </c>
      <c r="K80" s="48">
        <f t="shared" si="33"/>
        <v>1.2660825001138365</v>
      </c>
      <c r="L80" s="47">
        <f t="shared" si="33"/>
        <v>1.7408634376565251</v>
      </c>
      <c r="M80" s="47">
        <f t="shared" si="33"/>
        <v>1.99108982202</v>
      </c>
      <c r="N80" s="48">
        <f t="shared" si="33"/>
        <v>2.1438382216797001</v>
      </c>
      <c r="O80" s="47">
        <f t="shared" si="33"/>
        <v>2.2390526529344377</v>
      </c>
      <c r="P80" s="47">
        <f t="shared" si="33"/>
        <v>2.31010421339337</v>
      </c>
      <c r="Q80" s="48">
        <f t="shared" si="33"/>
        <v>2.3583043278260871</v>
      </c>
    </row>
    <row r="94" spans="3:5" ht="15" x14ac:dyDescent="0.2">
      <c r="C94" s="1">
        <v>1</v>
      </c>
      <c r="D94" s="42">
        <v>-2.165</v>
      </c>
      <c r="E94" s="42">
        <v>0.7</v>
      </c>
    </row>
    <row r="95" spans="3:5" ht="15" x14ac:dyDescent="0.2">
      <c r="C95" s="1">
        <v>2</v>
      </c>
      <c r="D95" s="42">
        <v>-4.335</v>
      </c>
      <c r="E95" s="42">
        <v>0.7</v>
      </c>
    </row>
    <row r="96" spans="3:5" ht="15" x14ac:dyDescent="0.2">
      <c r="C96" s="1">
        <v>3</v>
      </c>
      <c r="D96" s="43">
        <v>-6.5</v>
      </c>
      <c r="E96" s="43">
        <v>0.7</v>
      </c>
    </row>
    <row r="97" spans="3:5" ht="15" x14ac:dyDescent="0.2">
      <c r="C97" s="1">
        <v>4</v>
      </c>
      <c r="D97" s="42">
        <v>-8.66</v>
      </c>
      <c r="E97" s="42">
        <v>0.7</v>
      </c>
    </row>
    <row r="98" spans="3:5" ht="15" x14ac:dyDescent="0.2">
      <c r="C98" s="1">
        <v>5</v>
      </c>
      <c r="D98" s="42">
        <v>-10.824999999999999</v>
      </c>
      <c r="E98" s="42">
        <v>0.7</v>
      </c>
    </row>
    <row r="99" spans="3:5" ht="15" x14ac:dyDescent="0.2">
      <c r="C99" s="1">
        <v>10</v>
      </c>
      <c r="D99" s="43">
        <v>-21.65</v>
      </c>
      <c r="E99" s="43">
        <v>0.7</v>
      </c>
    </row>
    <row r="100" spans="3:5" ht="15" x14ac:dyDescent="0.2">
      <c r="C100" s="1">
        <v>20</v>
      </c>
      <c r="D100" s="42">
        <v>-43.3</v>
      </c>
      <c r="E100" s="42">
        <v>0.7</v>
      </c>
    </row>
    <row r="101" spans="3:5" ht="15" x14ac:dyDescent="0.2">
      <c r="C101" s="1">
        <v>30</v>
      </c>
      <c r="D101" s="42">
        <v>-65</v>
      </c>
      <c r="E101" s="42">
        <v>0.7</v>
      </c>
    </row>
    <row r="102" spans="3:5" ht="15" x14ac:dyDescent="0.2">
      <c r="C102" s="1">
        <v>40</v>
      </c>
      <c r="D102" s="43">
        <v>-86.65</v>
      </c>
      <c r="E102" s="43">
        <v>0.7</v>
      </c>
    </row>
    <row r="103" spans="3:5" ht="15" x14ac:dyDescent="0.2">
      <c r="C103" s="1">
        <v>50</v>
      </c>
      <c r="D103" s="42">
        <v>-108.25</v>
      </c>
      <c r="E103" s="42">
        <v>0.7</v>
      </c>
    </row>
    <row r="104" spans="3:5" ht="15" x14ac:dyDescent="0.2">
      <c r="C104" s="1">
        <v>60</v>
      </c>
      <c r="D104" s="42">
        <v>-130</v>
      </c>
      <c r="E104" s="42">
        <v>0.7</v>
      </c>
    </row>
    <row r="105" spans="3:5" ht="15" x14ac:dyDescent="0.2">
      <c r="C105" s="1">
        <v>70</v>
      </c>
      <c r="D105" s="43">
        <v>151.75</v>
      </c>
      <c r="E105" s="43">
        <v>0.7</v>
      </c>
    </row>
    <row r="255" spans="2:2" x14ac:dyDescent="0.2">
      <c r="B255" t="s">
        <v>78</v>
      </c>
    </row>
  </sheetData>
  <pageMargins left="0.7" right="0.7" top="0.75" bottom="0.75" header="0.3" footer="0.3"/>
  <pageSetup scale="67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lscircuit_disabled</vt:lpstr>
      <vt:lpstr>lcsircuit_enabled</vt:lpstr>
      <vt:lpstr>compilation_disabled</vt:lpstr>
      <vt:lpstr>compilation_enabled</vt:lpstr>
      <vt:lpstr>linear_reb_zeta</vt:lpstr>
      <vt:lpstr>Sheet3</vt:lpstr>
      <vt:lpstr>compilation_disabled!Print_Area</vt:lpstr>
      <vt:lpstr>compilation_enabled!Print_Area</vt:lpstr>
      <vt:lpstr>linear_reb_zeta!Print_Area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Stillwell</dc:creator>
  <cp:lastModifiedBy>Kevin Stillwell</cp:lastModifiedBy>
  <cp:lastPrinted>2017-08-02T21:21:46Z</cp:lastPrinted>
  <dcterms:created xsi:type="dcterms:W3CDTF">2017-07-30T15:41:30Z</dcterms:created>
  <dcterms:modified xsi:type="dcterms:W3CDTF">2018-02-22T00:19:49Z</dcterms:modified>
</cp:coreProperties>
</file>